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9860" activeTab="0"/>
  </bookViews>
  <sheets>
    <sheet name="List" sheetId="1" r:id="rId1"/>
    <sheet name="Metadata" sheetId="2" r:id="rId2"/>
  </sheets>
  <definedNames>
    <definedName name="Arrivaldeparture">'Metadata'!$C$2:$C$3</definedName>
    <definedName name="_xlnm.Print_Area" localSheetId="0">'List'!$A$1:$M$13</definedName>
  </definedNames>
  <calcPr fullCalcOnLoad="1"/>
</workbook>
</file>

<file path=xl/sharedStrings.xml><?xml version="1.0" encoding="utf-8"?>
<sst xmlns="http://schemas.openxmlformats.org/spreadsheetml/2006/main" count="69" uniqueCount="67">
  <si>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</si>
  <si>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</si>
  <si>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</si>
  <si>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</si>
  <si>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</si>
  <si>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</si>
  <si>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</si>
  <si>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</si>
  <si>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</si>
  <si>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</si>
  <si>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</si>
  <si>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</si>
  <si>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</si>
  <si>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תאריך הנפקה</t>
  </si>
  <si>
    <t>VISA Passports List</t>
  </si>
  <si>
    <t>Ver 1.0</t>
  </si>
  <si>
    <t>Passports</t>
  </si>
  <si>
    <t xml:space="preserve">Passenger Type legend:      3  </t>
  </si>
  <si>
    <t>Errors Counter</t>
  </si>
  <si>
    <t>הזן הערה לאשרה בשורה הבאה</t>
  </si>
  <si>
    <t>הערה באשרה</t>
  </si>
  <si>
    <t>מספר  נוסע</t>
  </si>
  <si>
    <t>סוג נוסע</t>
  </si>
  <si>
    <t>שם משפחה</t>
  </si>
  <si>
    <t>שם פרטי</t>
  </si>
  <si>
    <t>מין</t>
  </si>
  <si>
    <t>תפקיד איש צוות</t>
  </si>
  <si>
    <t>ארץ מנפיקה</t>
  </si>
  <si>
    <t>תאריך לידה</t>
  </si>
  <si>
    <t>ארץ אזרחות</t>
  </si>
  <si>
    <t>ותק</t>
  </si>
  <si>
    <t>מס דרכון זר /
ישראלי</t>
  </si>
  <si>
    <t>מס' תעודת ימאי /
תעודת זהות</t>
  </si>
  <si>
    <t>תאריך תוקף דרכון</t>
  </si>
  <si>
    <t>Passenger Number*</t>
  </si>
  <si>
    <t>Passenger type*</t>
  </si>
  <si>
    <t>Surname*</t>
  </si>
  <si>
    <t>Given name*</t>
  </si>
  <si>
    <t>Gender*</t>
  </si>
  <si>
    <t>Rank</t>
  </si>
  <si>
    <t>Issue Country*</t>
  </si>
  <si>
    <t>Date of Birth*</t>
  </si>
  <si>
    <t>Nationality*</t>
  </si>
  <si>
    <t>Sign on</t>
  </si>
  <si>
    <t>Passport</t>
  </si>
  <si>
    <t>SMB No./
Personal ID No.</t>
  </si>
  <si>
    <t>Expiration Date</t>
  </si>
  <si>
    <t>1</t>
  </si>
  <si>
    <t>3</t>
  </si>
  <si>
    <t>M</t>
  </si>
  <si>
    <t>F</t>
  </si>
  <si>
    <t>Country</t>
  </si>
  <si>
    <t>Country Full Name MAX 400</t>
  </si>
  <si>
    <t>Arrival/Departure</t>
  </si>
  <si>
    <t>Gender</t>
  </si>
  <si>
    <t>Passenger type</t>
  </si>
  <si>
    <t>Arrival</t>
  </si>
  <si>
    <t>passenger=1</t>
  </si>
  <si>
    <t>Departure</t>
  </si>
  <si>
    <t>crew=2</t>
  </si>
  <si>
    <t xml:space="preserve">CONGO, DEMO. REP.             </t>
  </si>
  <si>
    <t>19.09.1965</t>
  </si>
  <si>
    <t>75 0747765</t>
  </si>
  <si>
    <t>17.02.2025</t>
  </si>
  <si>
    <t xml:space="preserve">SHCHERBAKOV </t>
  </si>
  <si>
    <t>VALERII</t>
  </si>
  <si>
    <t>rus</t>
  </si>
</sst>
</file>

<file path=xl/styles.xml><?xml version="1.0" encoding="utf-8"?>
<styleSheet xmlns="http://schemas.openxmlformats.org/spreadsheetml/2006/main">
  <numFmts count="40">
    <numFmt numFmtId="5" formatCode="#,##0\ &quot;₪&quot;;\-#,##0\ &quot;₪&quot;"/>
    <numFmt numFmtId="6" formatCode="#,##0\ &quot;₪&quot;;[Red]\-#,##0\ &quot;₪&quot;"/>
    <numFmt numFmtId="7" formatCode="#,##0.00\ &quot;₪&quot;;\-#,##0.00\ &quot;₪&quot;"/>
    <numFmt numFmtId="8" formatCode="#,##0.00\ &quot;₪&quot;;[Red]\-#,##0.00\ &quot;₪&quot;"/>
    <numFmt numFmtId="42" formatCode="_-* #,##0\ &quot;₪&quot;_-;\-* #,##0\ &quot;₪&quot;_-;_-* &quot;-&quot;\ &quot;₪&quot;_-;_-@_-"/>
    <numFmt numFmtId="41" formatCode="_-* #,##0_-;\-* #,##0_-;_-* &quot;-&quot;_-;_-@_-"/>
    <numFmt numFmtId="44" formatCode="_-* #,##0.00\ &quot;₪&quot;_-;\-* #,##0.00\ &quot;₪&quot;_-;_-* &quot;-&quot;??\ &quot;₪&quot;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D]dddd\ dd\ mmmm\ yyyy"/>
    <numFmt numFmtId="181" formatCode="[$-1010000]d/m/yyyy;@"/>
    <numFmt numFmtId="182" formatCode="[$-409]d\-mmm\-yy;@"/>
    <numFmt numFmtId="183" formatCode="#"/>
    <numFmt numFmtId="184" formatCode="[$-409]dddd\,\ mmmm\ dd\,\ yyyy"/>
    <numFmt numFmtId="185" formatCode="m/d/yyyy;@"/>
    <numFmt numFmtId="186" formatCode="dd/mm/yyyy;@"/>
    <numFmt numFmtId="187" formatCode="[$-409]h:mm:ss\ AM/PM"/>
    <numFmt numFmtId="188" formatCode="mmm\-yyyy"/>
    <numFmt numFmtId="189" formatCode="B1dd\-mmm"/>
    <numFmt numFmtId="190" formatCode="B1dd\-mmm\-yy"/>
    <numFmt numFmtId="191" formatCode="[$-1010409]d\ mmm\ 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177" fontId="0" fillId="0" borderId="0" applyFont="0" applyFill="0" applyBorder="0" applyAlignment="0" applyProtection="0"/>
    <xf numFmtId="0" fontId="38" fillId="29" borderId="2" applyNumberFormat="0" applyAlignment="0" applyProtection="0"/>
    <xf numFmtId="0" fontId="39" fillId="30" borderId="0" applyNumberFormat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9" fontId="3" fillId="32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49" fontId="3" fillId="32" borderId="11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3" fillId="33" borderId="11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49" fontId="0" fillId="34" borderId="0" xfId="0" applyNumberForma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4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right" readingOrder="2"/>
      <protection locked="0"/>
    </xf>
    <xf numFmtId="49" fontId="0" fillId="34" borderId="15" xfId="0" applyNumberFormat="1" applyFill="1" applyBorder="1" applyAlignment="1" applyProtection="1">
      <alignment horizontal="right" readingOrder="2"/>
      <protection locked="0"/>
    </xf>
    <xf numFmtId="49" fontId="0" fillId="34" borderId="15" xfId="0" applyNumberFormat="1" applyFill="1" applyBorder="1" applyAlignment="1">
      <alignment horizontal="right" readingOrder="2"/>
    </xf>
    <xf numFmtId="49" fontId="0" fillId="34" borderId="12" xfId="0" applyNumberFormat="1" applyFill="1" applyBorder="1" applyAlignment="1">
      <alignment horizontal="right" readingOrder="2"/>
    </xf>
    <xf numFmtId="49" fontId="3" fillId="33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/>
    </xf>
    <xf numFmtId="49" fontId="0" fillId="33" borderId="15" xfId="0" applyNumberFormat="1" applyFill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Border="1" applyAlignment="1">
      <alignment horizontal="left"/>
    </xf>
    <xf numFmtId="49" fontId="4" fillId="33" borderId="11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33" borderId="15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הדגשה1" xfId="33"/>
    <cellStyle name="הדגשה2" xfId="34"/>
    <cellStyle name="הדגשה3" xfId="35"/>
    <cellStyle name="הדגשה4" xfId="36"/>
    <cellStyle name="הדגשה5" xfId="37"/>
    <cellStyle name="הדגשה6" xfId="38"/>
    <cellStyle name="Hyperlink" xfId="39"/>
    <cellStyle name="Followed Hyperlink" xfId="40"/>
    <cellStyle name="הערה" xfId="41"/>
    <cellStyle name="חישוב" xfId="42"/>
    <cellStyle name="טוב" xfId="43"/>
    <cellStyle name="טקסט אזהרה" xfId="44"/>
    <cellStyle name="טקסט הסברי" xfId="45"/>
    <cellStyle name="כותרת" xfId="46"/>
    <cellStyle name="כותרת 1" xfId="47"/>
    <cellStyle name="כותרת 2" xfId="48"/>
    <cellStyle name="כותרת 3" xfId="49"/>
    <cellStyle name="כותרת 4" xfId="50"/>
    <cellStyle name="Currency [0]" xfId="51"/>
    <cellStyle name="ניטראלי" xfId="52"/>
    <cellStyle name="סה&quot;כ" xfId="53"/>
    <cellStyle name="פלט" xfId="54"/>
    <cellStyle name="Comma [0]" xfId="55"/>
    <cellStyle name="קלט" xfId="56"/>
    <cellStyle name="רע" xfId="57"/>
    <cellStyle name="תא מסומן" xfId="58"/>
    <cellStyle name="תא מקושר" xfId="59"/>
    <cellStyle name="Comma" xfId="60"/>
    <cellStyle name="Currency" xfId="61"/>
    <cellStyle name="Normal 10" xfId="62"/>
    <cellStyle name="Normal 2" xfId="63"/>
    <cellStyle name="Normal 5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80" zoomScaleNormal="80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7.421875" style="1" customWidth="1"/>
    <col min="2" max="2" width="8.7109375" style="11" customWidth="1"/>
    <col min="3" max="3" width="20.7109375" style="1" customWidth="1"/>
    <col min="4" max="4" width="13.421875" style="11" bestFit="1" customWidth="1"/>
    <col min="5" max="5" width="8.421875" style="1" customWidth="1"/>
    <col min="6" max="6" width="11.00390625" style="1" bestFit="1" customWidth="1"/>
    <col min="7" max="7" width="7.140625" style="1" customWidth="1"/>
    <col min="8" max="8" width="14.421875" style="1" customWidth="1"/>
    <col min="9" max="9" width="9.140625" style="1" customWidth="1"/>
    <col min="10" max="10" width="10.7109375" style="1" bestFit="1" customWidth="1"/>
    <col min="11" max="11" width="14.421875" style="1" bestFit="1" customWidth="1"/>
    <col min="12" max="12" width="15.421875" style="21" bestFit="1" customWidth="1"/>
    <col min="13" max="13" width="14.7109375" style="1" customWidth="1"/>
    <col min="14" max="16384" width="9.140625" style="14" customWidth="1"/>
  </cols>
  <sheetData>
    <row r="1" spans="1:13" ht="13.5">
      <c r="A1" s="12" t="s">
        <v>0</v>
      </c>
      <c r="B1" s="11" t="s">
        <v>1</v>
      </c>
      <c r="C1" s="1" t="s">
        <v>2</v>
      </c>
      <c r="D1" s="11" t="s">
        <v>3</v>
      </c>
      <c r="E1" s="1" t="s">
        <v>4</v>
      </c>
      <c r="F1" s="1" t="s">
        <v>5</v>
      </c>
      <c r="G1" s="12" t="s">
        <v>6</v>
      </c>
      <c r="H1" s="12" t="s">
        <v>7</v>
      </c>
      <c r="I1" s="1" t="s">
        <v>8</v>
      </c>
      <c r="J1" s="1" t="s">
        <v>9</v>
      </c>
      <c r="K1" s="1" t="s">
        <v>10</v>
      </c>
      <c r="L1" s="13" t="s">
        <v>11</v>
      </c>
      <c r="M1" s="12" t="s">
        <v>12</v>
      </c>
    </row>
    <row r="2" spans="1:13" s="17" customFormat="1" ht="15.75">
      <c r="A2" s="33" t="s">
        <v>13</v>
      </c>
      <c r="B2" s="34"/>
      <c r="C2" s="35"/>
      <c r="D2" s="38"/>
      <c r="E2" s="44" t="s">
        <v>14</v>
      </c>
      <c r="F2" s="45"/>
      <c r="G2" s="45"/>
      <c r="H2" s="46"/>
      <c r="I2" s="33"/>
      <c r="J2" s="37"/>
      <c r="K2" s="39" t="s">
        <v>15</v>
      </c>
      <c r="L2" s="40"/>
      <c r="M2" s="41"/>
    </row>
    <row r="3" spans="1:13" s="17" customFormat="1" ht="12.75">
      <c r="A3" s="33"/>
      <c r="B3" s="34"/>
      <c r="C3" s="35"/>
      <c r="D3" s="36"/>
      <c r="E3" s="33"/>
      <c r="F3" s="37"/>
      <c r="G3" s="35"/>
      <c r="H3" s="38"/>
      <c r="I3" s="33"/>
      <c r="J3" s="37"/>
      <c r="K3" s="35"/>
      <c r="L3" s="42"/>
      <c r="M3" s="43"/>
    </row>
    <row r="4" spans="1:13" s="17" customFormat="1" ht="12.75">
      <c r="A4" s="33"/>
      <c r="B4" s="34"/>
      <c r="C4" s="35"/>
      <c r="D4" s="36"/>
      <c r="E4" s="33"/>
      <c r="F4" s="37"/>
      <c r="G4" s="35"/>
      <c r="H4" s="38"/>
      <c r="I4" s="33"/>
      <c r="J4" s="37"/>
      <c r="K4" s="35"/>
      <c r="L4" s="42"/>
      <c r="M4" s="36"/>
    </row>
    <row r="5" spans="1:13" s="17" customFormat="1" ht="12.75">
      <c r="A5" s="33"/>
      <c r="B5" s="34"/>
      <c r="C5" s="35"/>
      <c r="D5" s="36"/>
      <c r="E5" s="33"/>
      <c r="F5" s="37"/>
      <c r="G5" s="35"/>
      <c r="H5" s="38"/>
      <c r="I5" s="33" t="s">
        <v>16</v>
      </c>
      <c r="J5" s="37"/>
      <c r="K5" s="39"/>
      <c r="L5" s="40"/>
      <c r="M5" s="41"/>
    </row>
    <row r="6" spans="1:13" s="17" customFormat="1" ht="12.75">
      <c r="A6" s="15"/>
      <c r="B6" s="16"/>
      <c r="C6" s="35"/>
      <c r="D6" s="38"/>
      <c r="E6" s="33"/>
      <c r="F6" s="37"/>
      <c r="G6" s="35"/>
      <c r="H6" s="38"/>
      <c r="I6" s="33"/>
      <c r="J6" s="37"/>
      <c r="K6" s="39"/>
      <c r="L6" s="40"/>
      <c r="M6" s="41"/>
    </row>
    <row r="7" spans="1:13" s="17" customFormat="1" ht="12.75">
      <c r="A7" s="33" t="s">
        <v>17</v>
      </c>
      <c r="B7" s="48"/>
      <c r="C7" s="48"/>
      <c r="D7" s="37"/>
      <c r="E7" s="33" t="s">
        <v>18</v>
      </c>
      <c r="F7" s="37"/>
      <c r="G7" s="47">
        <v>0</v>
      </c>
      <c r="H7" s="34"/>
      <c r="I7" s="18"/>
      <c r="J7" s="18"/>
      <c r="K7" s="18"/>
      <c r="M7" s="18"/>
    </row>
    <row r="8" spans="1:13" s="17" customFormat="1" ht="12.75">
      <c r="A8" s="18"/>
      <c r="B8" s="19"/>
      <c r="C8" s="18"/>
      <c r="D8" s="19"/>
      <c r="E8" s="20"/>
      <c r="F8" s="18"/>
      <c r="G8" s="18"/>
      <c r="H8" s="18"/>
      <c r="I8" s="18"/>
      <c r="J8" s="18"/>
      <c r="K8" s="18"/>
      <c r="M8" s="18"/>
    </row>
    <row r="9" spans="1:13" s="17" customFormat="1" ht="12.75">
      <c r="A9" s="18"/>
      <c r="B9" s="19"/>
      <c r="C9" s="18"/>
      <c r="D9" s="27" t="s">
        <v>19</v>
      </c>
      <c r="E9" s="28"/>
      <c r="F9" s="18"/>
      <c r="G9" s="18"/>
      <c r="H9" s="18"/>
      <c r="I9" s="18"/>
      <c r="J9" s="18"/>
      <c r="K9" s="18"/>
      <c r="M9" s="18"/>
    </row>
    <row r="10" spans="1:13" s="17" customFormat="1" ht="12.75">
      <c r="A10" s="29" t="s">
        <v>20</v>
      </c>
      <c r="B10" s="30"/>
      <c r="C10" s="31"/>
      <c r="D10" s="31"/>
      <c r="E10" s="31"/>
      <c r="F10" s="32"/>
      <c r="G10" s="18"/>
      <c r="H10" s="18"/>
      <c r="I10" s="18"/>
      <c r="J10" s="18"/>
      <c r="K10" s="18"/>
      <c r="M10" s="18"/>
    </row>
    <row r="11" spans="1:13" s="17" customFormat="1" ht="12.75">
      <c r="A11" s="18"/>
      <c r="B11" s="19"/>
      <c r="C11" s="18"/>
      <c r="D11" s="19"/>
      <c r="E11" s="20"/>
      <c r="F11" s="18"/>
      <c r="G11" s="18"/>
      <c r="H11" s="18"/>
      <c r="I11" s="18"/>
      <c r="J11" s="18"/>
      <c r="K11" s="18"/>
      <c r="M11" s="18"/>
    </row>
    <row r="12" spans="1:13" s="17" customFormat="1" ht="12.75">
      <c r="A12" s="18"/>
      <c r="B12" s="19"/>
      <c r="C12" s="18"/>
      <c r="D12" s="19"/>
      <c r="E12" s="20"/>
      <c r="F12" s="18"/>
      <c r="G12" s="18"/>
      <c r="H12" s="18"/>
      <c r="I12" s="18"/>
      <c r="J12" s="18"/>
      <c r="K12" s="18"/>
      <c r="M12" s="18"/>
    </row>
    <row r="13" spans="1:13" ht="35.25" customHeight="1">
      <c r="A13" s="2" t="s">
        <v>21</v>
      </c>
      <c r="B13" s="8" t="s">
        <v>22</v>
      </c>
      <c r="C13" s="2" t="s">
        <v>23</v>
      </c>
      <c r="D13" s="8" t="s">
        <v>24</v>
      </c>
      <c r="E13" s="8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  <c r="L13" s="2" t="s">
        <v>32</v>
      </c>
      <c r="M13" s="10" t="s">
        <v>33</v>
      </c>
    </row>
    <row r="14" spans="1:13" ht="57" thickBot="1">
      <c r="A14" s="2" t="s">
        <v>34</v>
      </c>
      <c r="B14" s="8" t="s">
        <v>35</v>
      </c>
      <c r="C14" s="2" t="s">
        <v>36</v>
      </c>
      <c r="D14" s="8" t="s">
        <v>37</v>
      </c>
      <c r="E14" s="8" t="s">
        <v>38</v>
      </c>
      <c r="F14" s="2" t="s">
        <v>39</v>
      </c>
      <c r="G14" s="2" t="s">
        <v>40</v>
      </c>
      <c r="H14" s="2" t="s">
        <v>41</v>
      </c>
      <c r="I14" s="2" t="s">
        <v>42</v>
      </c>
      <c r="J14" s="2" t="s">
        <v>43</v>
      </c>
      <c r="K14" s="2" t="s">
        <v>44</v>
      </c>
      <c r="L14" s="2" t="s">
        <v>45</v>
      </c>
      <c r="M14" s="10" t="s">
        <v>46</v>
      </c>
    </row>
    <row r="15" spans="1:13" ht="19.5" thickBot="1">
      <c r="A15" s="22" t="s">
        <v>47</v>
      </c>
      <c r="B15" s="23" t="s">
        <v>48</v>
      </c>
      <c r="C15" s="24" t="s">
        <v>64</v>
      </c>
      <c r="D15" s="11" t="s">
        <v>65</v>
      </c>
      <c r="E15" s="25" t="s">
        <v>49</v>
      </c>
      <c r="G15" s="26" t="s">
        <v>66</v>
      </c>
      <c r="H15" s="25" t="s">
        <v>61</v>
      </c>
      <c r="I15" s="26" t="s">
        <v>66</v>
      </c>
      <c r="K15" s="25" t="s">
        <v>62</v>
      </c>
      <c r="M15" s="25" t="s">
        <v>63</v>
      </c>
    </row>
  </sheetData>
  <sheetProtection/>
  <mergeCells count="33">
    <mergeCell ref="G7:H7"/>
    <mergeCell ref="K5:M5"/>
    <mergeCell ref="A4:B4"/>
    <mergeCell ref="C4:D4"/>
    <mergeCell ref="A7:D7"/>
    <mergeCell ref="I6:J6"/>
    <mergeCell ref="K6:M6"/>
    <mergeCell ref="C6:D6"/>
    <mergeCell ref="E6:F6"/>
    <mergeCell ref="G6:H6"/>
    <mergeCell ref="K2:M2"/>
    <mergeCell ref="E7:F7"/>
    <mergeCell ref="K3:M3"/>
    <mergeCell ref="A2:B2"/>
    <mergeCell ref="C2:D2"/>
    <mergeCell ref="E2:H2"/>
    <mergeCell ref="K4:M4"/>
    <mergeCell ref="A5:B5"/>
    <mergeCell ref="C5:D5"/>
    <mergeCell ref="E5:F5"/>
    <mergeCell ref="G3:H3"/>
    <mergeCell ref="I3:J3"/>
    <mergeCell ref="I5:J5"/>
    <mergeCell ref="I2:J2"/>
    <mergeCell ref="G4:H4"/>
    <mergeCell ref="I4:J4"/>
    <mergeCell ref="G5:H5"/>
    <mergeCell ref="D9:E9"/>
    <mergeCell ref="A10:F10"/>
    <mergeCell ref="A3:B3"/>
    <mergeCell ref="C3:D3"/>
    <mergeCell ref="E3:F3"/>
    <mergeCell ref="E4:F4"/>
  </mergeCells>
  <dataValidations count="4">
    <dataValidation type="date" operator="greaterThanOrEqual" allowBlank="1" showInputMessage="1" showErrorMessage="1" sqref="G6:H6">
      <formula1>G5</formula1>
    </dataValidation>
    <dataValidation type="date" operator="greaterThanOrEqual" allowBlank="1" showInputMessage="1" showErrorMessage="1" sqref="G5:H5">
      <formula1>TODAY()-100</formula1>
    </dataValidation>
    <dataValidation type="list" showInputMessage="1" showErrorMessage="1" sqref="G3:H3">
      <formula1>Arrivaldeparture</formula1>
    </dataValidation>
    <dataValidation type="date" allowBlank="1" showInputMessage="1" showErrorMessage="1" sqref="C2 K3:L3">
      <formula1>TODAY()</formula1>
      <formula2>TODAY()+365</formula2>
    </dataValidation>
  </dataValidations>
  <printOptions/>
  <pageMargins left="0.2" right="0.22" top="1" bottom="1" header="0.5" footer="0.5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33">
      <selection activeCell="C47" sqref="C47"/>
    </sheetView>
  </sheetViews>
  <sheetFormatPr defaultColWidth="11.421875" defaultRowHeight="12.75"/>
  <cols>
    <col min="1" max="1" width="9.421875" style="3" customWidth="1"/>
    <col min="2" max="2" width="34.421875" style="3" bestFit="1" customWidth="1"/>
    <col min="3" max="3" width="16.7109375" style="3" customWidth="1"/>
    <col min="4" max="4" width="8.140625" style="6" customWidth="1"/>
    <col min="5" max="5" width="14.140625" style="3" bestFit="1" customWidth="1"/>
    <col min="6" max="16384" width="8.8515625" style="0" customWidth="1"/>
  </cols>
  <sheetData>
    <row r="1" spans="1:5" ht="12.75">
      <c r="A1" s="4" t="s">
        <v>51</v>
      </c>
      <c r="B1" s="4" t="s">
        <v>52</v>
      </c>
      <c r="C1" s="4" t="s">
        <v>53</v>
      </c>
      <c r="D1" s="5" t="s">
        <v>54</v>
      </c>
      <c r="E1" s="4" t="s">
        <v>55</v>
      </c>
    </row>
    <row r="2" spans="1:5" ht="12.75">
      <c r="A2" t="str">
        <f>"309"</f>
        <v>309</v>
      </c>
      <c r="B2" t="str">
        <f>"GEORGIA                       "</f>
        <v>GEORGIA                       </v>
      </c>
      <c r="C2" s="3" t="s">
        <v>56</v>
      </c>
      <c r="D2" s="6" t="s">
        <v>49</v>
      </c>
      <c r="E2" s="7" t="s">
        <v>57</v>
      </c>
    </row>
    <row r="3" spans="1:5" ht="12.75">
      <c r="A3" t="str">
        <f>"850"</f>
        <v>850</v>
      </c>
      <c r="B3" t="str">
        <f>"SOUTH AMERICA                 "</f>
        <v>SOUTH AMERICA                 </v>
      </c>
      <c r="C3" s="3" t="s">
        <v>58</v>
      </c>
      <c r="D3" s="6" t="s">
        <v>50</v>
      </c>
      <c r="E3" s="7" t="s">
        <v>59</v>
      </c>
    </row>
    <row r="4" spans="1:2" ht="12.75">
      <c r="A4" t="str">
        <f>"910"</f>
        <v>910</v>
      </c>
      <c r="B4" t="str">
        <f>"JUDEA SMARIA                  "</f>
        <v>JUDEA SMARIA                  </v>
      </c>
    </row>
    <row r="5" spans="1:2" ht="12.75">
      <c r="A5" t="str">
        <f>"930"</f>
        <v>930</v>
      </c>
      <c r="B5" t="str">
        <f>"GAZA STRIP AND SINAI          "</f>
        <v>GAZA STRIP AND SINAI          </v>
      </c>
    </row>
    <row r="6" spans="1:2" ht="12.75">
      <c r="A6" t="str">
        <f>"990"</f>
        <v>990</v>
      </c>
      <c r="B6" t="str">
        <f>"UNKNOWN1                      "</f>
        <v>UNKNOWN1                      </v>
      </c>
    </row>
    <row r="7" spans="1:2" ht="12.75">
      <c r="A7" t="str">
        <f>"ADN"</f>
        <v>ADN</v>
      </c>
      <c r="B7" t="str">
        <f>"ADEN                          "</f>
        <v>ADEN                          </v>
      </c>
    </row>
    <row r="8" spans="1:2" ht="12.75">
      <c r="A8" t="str">
        <f>"AFG"</f>
        <v>AFG</v>
      </c>
      <c r="B8" t="str">
        <f>"AFGHANISTAN                   "</f>
        <v>AFGHANISTAN                   </v>
      </c>
    </row>
    <row r="9" spans="1:2" ht="12.75">
      <c r="A9" t="str">
        <f>"AGO"</f>
        <v>AGO</v>
      </c>
      <c r="B9" t="str">
        <f>"ANGOLA                        "</f>
        <v>ANGOLA                        </v>
      </c>
    </row>
    <row r="10" spans="1:2" ht="12.75">
      <c r="A10" t="str">
        <f>"ALB"</f>
        <v>ALB</v>
      </c>
      <c r="B10" t="str">
        <f>"ALBANIA                       "</f>
        <v>ALBANIA                       </v>
      </c>
    </row>
    <row r="11" spans="1:2" ht="12.75">
      <c r="A11" t="str">
        <f>"AND"</f>
        <v>AND</v>
      </c>
      <c r="B11" t="str">
        <f>"ANDORRA                       "</f>
        <v>ANDORRA                       </v>
      </c>
    </row>
    <row r="12" spans="1:2" ht="12.75">
      <c r="A12" t="str">
        <f>"ARE"</f>
        <v>ARE</v>
      </c>
      <c r="B12" t="str">
        <f>"UNITED ARAB  EMIRATES         "</f>
        <v>UNITED ARAB  EMIRATES         </v>
      </c>
    </row>
    <row r="13" spans="1:2" ht="12.75">
      <c r="A13" t="str">
        <f>"ARG"</f>
        <v>ARG</v>
      </c>
      <c r="B13" t="str">
        <f>"ARGENTINA                     "</f>
        <v>ARGENTINA                     </v>
      </c>
    </row>
    <row r="14" spans="1:2" ht="12.75">
      <c r="A14" t="str">
        <f>"ARM"</f>
        <v>ARM</v>
      </c>
      <c r="B14" t="str">
        <f>"ARMENIA                       "</f>
        <v>ARMENIA                       </v>
      </c>
    </row>
    <row r="15" spans="1:9" ht="12.75">
      <c r="A15" t="str">
        <f>"ASM"</f>
        <v>ASM</v>
      </c>
      <c r="B15" t="str">
        <f>"SAMOA                         "</f>
        <v>SAMOA                         </v>
      </c>
      <c r="G15" s="9"/>
      <c r="I15" s="9"/>
    </row>
    <row r="16" spans="1:9" ht="12.75">
      <c r="A16" t="str">
        <f>"ATG"</f>
        <v>ATG</v>
      </c>
      <c r="B16" t="str">
        <f>"ANTIGUA AND BARBUDA           "</f>
        <v>ANTIGUA AND BARBUDA           </v>
      </c>
      <c r="G16" s="9"/>
      <c r="I16" s="9"/>
    </row>
    <row r="17" spans="1:9" ht="12.75">
      <c r="A17" t="str">
        <f>"AUS"</f>
        <v>AUS</v>
      </c>
      <c r="B17" t="str">
        <f>"AUSTRALIA                     "</f>
        <v>AUSTRALIA                     </v>
      </c>
      <c r="G17" s="9"/>
      <c r="I17" s="9"/>
    </row>
    <row r="18" spans="1:9" ht="12.75">
      <c r="A18" t="str">
        <f>"AUT"</f>
        <v>AUT</v>
      </c>
      <c r="B18" t="str">
        <f>"AUSTRIA                       "</f>
        <v>AUSTRIA                       </v>
      </c>
      <c r="G18" s="9"/>
      <c r="I18" s="9"/>
    </row>
    <row r="19" spans="1:9" ht="12.75">
      <c r="A19" t="str">
        <f>"AZE"</f>
        <v>AZE</v>
      </c>
      <c r="B19" t="str">
        <f>"AZERBAIJAN                    "</f>
        <v>AZERBAIJAN                    </v>
      </c>
      <c r="G19" s="9"/>
      <c r="I19" s="9"/>
    </row>
    <row r="20" spans="1:9" ht="12.75">
      <c r="A20" t="str">
        <f>"BDI"</f>
        <v>BDI</v>
      </c>
      <c r="B20" t="str">
        <f>"BURUNDI                       "</f>
        <v>BURUNDI                       </v>
      </c>
      <c r="G20" s="9"/>
      <c r="I20" s="9"/>
    </row>
    <row r="21" spans="1:9" ht="12.75">
      <c r="A21" t="str">
        <f>"BEL"</f>
        <v>BEL</v>
      </c>
      <c r="B21" t="str">
        <f>"BELGIUM                       "</f>
        <v>BELGIUM                       </v>
      </c>
      <c r="G21" s="9"/>
      <c r="I21" s="9"/>
    </row>
    <row r="22" spans="1:9" ht="12.75">
      <c r="A22" t="str">
        <f>"BEN"</f>
        <v>BEN</v>
      </c>
      <c r="B22" t="str">
        <f>"BENIN (DAHOMEY)               "</f>
        <v>BENIN (DAHOMEY)               </v>
      </c>
      <c r="G22" s="9"/>
      <c r="I22" s="9"/>
    </row>
    <row r="23" spans="1:9" ht="12.75">
      <c r="A23" t="str">
        <f>"BFA"</f>
        <v>BFA</v>
      </c>
      <c r="B23" t="str">
        <f>"BURKINA-FASSO                 "</f>
        <v>BURKINA-FASSO                 </v>
      </c>
      <c r="G23" s="9"/>
      <c r="I23" s="9"/>
    </row>
    <row r="24" spans="1:9" ht="12.75">
      <c r="A24" t="str">
        <f>"BGD"</f>
        <v>BGD</v>
      </c>
      <c r="B24" t="str">
        <f>"BANGLADESH                    "</f>
        <v>BANGLADESH                    </v>
      </c>
      <c r="G24" s="9"/>
      <c r="I24" s="9"/>
    </row>
    <row r="25" spans="1:9" ht="12.75">
      <c r="A25" t="str">
        <f>"BGR"</f>
        <v>BGR</v>
      </c>
      <c r="B25" t="str">
        <f>"BULGARIA                      "</f>
        <v>BULGARIA                      </v>
      </c>
      <c r="G25" s="9"/>
      <c r="I25" s="9"/>
    </row>
    <row r="26" spans="1:9" ht="12.75">
      <c r="A26" t="str">
        <f>"BHR"</f>
        <v>BHR</v>
      </c>
      <c r="B26" t="str">
        <f>"BAHREIN                       "</f>
        <v>BAHREIN                       </v>
      </c>
      <c r="G26" s="9"/>
      <c r="I26" s="9"/>
    </row>
    <row r="27" spans="1:9" ht="12.75">
      <c r="A27" t="str">
        <f>"BHS"</f>
        <v>BHS</v>
      </c>
      <c r="B27" t="str">
        <f>"BAHAMAS                       "</f>
        <v>BAHAMAS                       </v>
      </c>
      <c r="G27" s="9"/>
      <c r="I27" s="9"/>
    </row>
    <row r="28" spans="1:9" ht="12.75">
      <c r="A28" t="str">
        <f>"BIH"</f>
        <v>BIH</v>
      </c>
      <c r="B28" t="str">
        <f>"BOSNIA  HERZEGOVINA           "</f>
        <v>BOSNIA  HERZEGOVINA           </v>
      </c>
      <c r="G28" s="9"/>
      <c r="I28" s="9"/>
    </row>
    <row r="29" spans="1:9" ht="12.75">
      <c r="A29" t="str">
        <f>"BLR"</f>
        <v>BLR</v>
      </c>
      <c r="B29" t="str">
        <f>"BELARUS                       "</f>
        <v>BELARUS                       </v>
      </c>
      <c r="G29" s="9"/>
      <c r="I29" s="9"/>
    </row>
    <row r="30" spans="1:9" ht="12.75">
      <c r="A30" t="str">
        <f>"BLZ"</f>
        <v>BLZ</v>
      </c>
      <c r="B30" t="str">
        <f>"BELIZE                        "</f>
        <v>BELIZE                        </v>
      </c>
      <c r="G30" s="9"/>
      <c r="I30" s="9"/>
    </row>
    <row r="31" spans="1:9" ht="12.75">
      <c r="A31" t="str">
        <f>"BMU"</f>
        <v>BMU</v>
      </c>
      <c r="B31" t="str">
        <f>"BERMUDA                       "</f>
        <v>BERMUDA                       </v>
      </c>
      <c r="G31" s="9"/>
      <c r="I31" s="9"/>
    </row>
    <row r="32" spans="1:9" ht="12.75">
      <c r="A32" t="str">
        <f>"BOL"</f>
        <v>BOL</v>
      </c>
      <c r="B32" t="str">
        <f>"BOLIVIA                       "</f>
        <v>BOLIVIA                       </v>
      </c>
      <c r="G32" s="9"/>
      <c r="I32" s="9"/>
    </row>
    <row r="33" spans="1:9" ht="12.75">
      <c r="A33" t="str">
        <f>"BRA"</f>
        <v>BRA</v>
      </c>
      <c r="B33" t="str">
        <f>"BRAZIL                        "</f>
        <v>BRAZIL                        </v>
      </c>
      <c r="G33" s="9"/>
      <c r="I33" s="9"/>
    </row>
    <row r="34" spans="1:9" ht="12.75">
      <c r="A34" t="str">
        <f>"BRB"</f>
        <v>BRB</v>
      </c>
      <c r="B34" t="str">
        <f>"BARBADOS                      "</f>
        <v>BARBADOS                      </v>
      </c>
      <c r="G34" s="9"/>
      <c r="I34" s="9"/>
    </row>
    <row r="35" spans="1:9" ht="12.75">
      <c r="A35" t="str">
        <f>"BRN"</f>
        <v>BRN</v>
      </c>
      <c r="B35" t="str">
        <f>"BRUNEI                        "</f>
        <v>BRUNEI                        </v>
      </c>
      <c r="G35" s="9"/>
      <c r="I35" s="9"/>
    </row>
    <row r="36" spans="1:9" ht="12.75">
      <c r="A36" t="str">
        <f>"BTN"</f>
        <v>BTN</v>
      </c>
      <c r="B36" t="str">
        <f>"BHUTAN                        "</f>
        <v>BHUTAN                        </v>
      </c>
      <c r="G36" s="9"/>
      <c r="I36" s="9"/>
    </row>
    <row r="37" spans="1:9" ht="12.75">
      <c r="A37" t="str">
        <f>"BWA"</f>
        <v>BWA</v>
      </c>
      <c r="B37" t="str">
        <f>"BOTSWANA                      "</f>
        <v>BOTSWANA                      </v>
      </c>
      <c r="G37" s="9"/>
      <c r="I37" s="9"/>
    </row>
    <row r="38" spans="1:9" ht="12.75">
      <c r="A38" t="str">
        <f>"CAF"</f>
        <v>CAF</v>
      </c>
      <c r="B38" t="str">
        <f>"CENTRAL AFRICA                "</f>
        <v>CENTRAL AFRICA                </v>
      </c>
      <c r="G38" s="9"/>
      <c r="I38" s="9"/>
    </row>
    <row r="39" spans="1:9" ht="12.75">
      <c r="A39" t="str">
        <f>"CAN"</f>
        <v>CAN</v>
      </c>
      <c r="B39" t="str">
        <f>"CANADA                        "</f>
        <v>CANADA                        </v>
      </c>
      <c r="G39" s="9"/>
      <c r="I39" s="9"/>
    </row>
    <row r="40" spans="1:9" ht="12.75">
      <c r="A40" t="str">
        <f>"CHE"</f>
        <v>CHE</v>
      </c>
      <c r="B40" t="str">
        <f>"SWITZERLAND                   "</f>
        <v>SWITZERLAND                   </v>
      </c>
      <c r="G40" s="9"/>
      <c r="I40" s="9"/>
    </row>
    <row r="41" spans="1:9" ht="12.75">
      <c r="A41" t="str">
        <f>"CHL"</f>
        <v>CHL</v>
      </c>
      <c r="B41" t="str">
        <f>"CHILE                         "</f>
        <v>CHILE                         </v>
      </c>
      <c r="G41" s="9"/>
      <c r="I41" s="9"/>
    </row>
    <row r="42" spans="1:9" ht="12.75">
      <c r="A42" t="str">
        <f>"CHN"</f>
        <v>CHN</v>
      </c>
      <c r="B42" t="str">
        <f>"CHINA                         "</f>
        <v>CHINA                         </v>
      </c>
      <c r="G42" s="9"/>
      <c r="I42" s="9"/>
    </row>
    <row r="43" spans="1:9" ht="12.75">
      <c r="A43" t="str">
        <f>"CIV"</f>
        <v>CIV</v>
      </c>
      <c r="B43" t="str">
        <f>"IVORY COAST                   "</f>
        <v>IVORY COAST                   </v>
      </c>
      <c r="G43" s="9"/>
      <c r="I43" s="9"/>
    </row>
    <row r="44" spans="1:9" ht="12.75">
      <c r="A44" t="str">
        <f>"CMR"</f>
        <v>CMR</v>
      </c>
      <c r="B44" t="str">
        <f>"CAMEROON                      "</f>
        <v>CAMEROON                      </v>
      </c>
      <c r="G44" s="9"/>
      <c r="I44" s="9"/>
    </row>
    <row r="45" spans="1:9" ht="12.75">
      <c r="A45" t="str">
        <f>"COD"</f>
        <v>COD</v>
      </c>
      <c r="B45" t="s">
        <v>60</v>
      </c>
      <c r="G45" s="9"/>
      <c r="I45" s="9"/>
    </row>
    <row r="46" spans="1:9" ht="12.75">
      <c r="A46" t="str">
        <f>"COG"</f>
        <v>COG</v>
      </c>
      <c r="B46" t="str">
        <f>"CONGO                         "</f>
        <v>CONGO                         </v>
      </c>
      <c r="G46" s="9"/>
      <c r="I46" s="9"/>
    </row>
    <row r="47" spans="1:9" ht="12.75">
      <c r="A47" t="str">
        <f>"COK"</f>
        <v>COK</v>
      </c>
      <c r="B47" t="str">
        <f>"COOK ISL                      "</f>
        <v>COOK ISL                      </v>
      </c>
      <c r="G47" s="9"/>
      <c r="I47" s="9"/>
    </row>
    <row r="48" spans="1:9" ht="12.75">
      <c r="A48" t="str">
        <f>"COL"</f>
        <v>COL</v>
      </c>
      <c r="B48" t="str">
        <f>"COLOMBIA                      "</f>
        <v>COLOMBIA                      </v>
      </c>
      <c r="G48" s="9"/>
      <c r="I48" s="9"/>
    </row>
    <row r="49" spans="1:9" ht="12.75">
      <c r="A49" t="str">
        <f>"COM"</f>
        <v>COM</v>
      </c>
      <c r="B49" t="str">
        <f>"COMOROS ISLANDS               "</f>
        <v>COMOROS ISLANDS               </v>
      </c>
      <c r="G49" s="9"/>
      <c r="I49" s="9"/>
    </row>
    <row r="50" spans="1:9" ht="12.75">
      <c r="A50" t="str">
        <f>"CPV"</f>
        <v>CPV</v>
      </c>
      <c r="B50" t="str">
        <f>"CAPE VERDE ISLANDS            "</f>
        <v>CAPE VERDE ISLANDS            </v>
      </c>
      <c r="G50" s="9"/>
      <c r="I50" s="9"/>
    </row>
    <row r="51" spans="1:9" ht="12.75">
      <c r="A51" t="str">
        <f>"CRI"</f>
        <v>CRI</v>
      </c>
      <c r="B51" t="str">
        <f>"COSTA RICA                    "</f>
        <v>COSTA RICA                    </v>
      </c>
      <c r="G51" s="9"/>
      <c r="I51" s="9"/>
    </row>
    <row r="52" spans="1:9" ht="12.75">
      <c r="A52" t="str">
        <f>"CUB"</f>
        <v>CUB</v>
      </c>
      <c r="B52" t="str">
        <f>"CUBA                          "</f>
        <v>CUBA                          </v>
      </c>
      <c r="G52" s="9"/>
      <c r="I52" s="9"/>
    </row>
    <row r="53" spans="1:9" ht="12.75">
      <c r="A53" t="str">
        <f>"CYM"</f>
        <v>CYM</v>
      </c>
      <c r="B53" t="str">
        <f>"CAYMAN ISLANDS                "</f>
        <v>CAYMAN ISLANDS                </v>
      </c>
      <c r="G53" s="9"/>
      <c r="I53" s="9"/>
    </row>
    <row r="54" spans="1:9" ht="12.75">
      <c r="A54" t="str">
        <f>"CYP"</f>
        <v>CYP</v>
      </c>
      <c r="B54" t="str">
        <f>"CYPRUS                        "</f>
        <v>CYPRUS                        </v>
      </c>
      <c r="G54" s="9"/>
      <c r="I54" s="9"/>
    </row>
    <row r="55" spans="1:9" ht="12.75">
      <c r="A55" t="str">
        <f>"CZE"</f>
        <v>CZE</v>
      </c>
      <c r="B55" t="str">
        <f>"CZECH SOCIALIST REP           "</f>
        <v>CZECH SOCIALIST REP           </v>
      </c>
      <c r="G55" s="9"/>
      <c r="I55" s="9"/>
    </row>
    <row r="56" spans="1:9" ht="12.75">
      <c r="A56" t="str">
        <f>"D"</f>
        <v>D</v>
      </c>
      <c r="B56" t="str">
        <f>"GERMANY                       "</f>
        <v>GERMANY                       </v>
      </c>
      <c r="G56" s="9"/>
      <c r="I56" s="9"/>
    </row>
    <row r="57" spans="1:9" ht="12.75">
      <c r="A57" t="str">
        <f>"DJI"</f>
        <v>DJI</v>
      </c>
      <c r="B57" t="str">
        <f>"JIBOUTI                       "</f>
        <v>JIBOUTI                       </v>
      </c>
      <c r="G57" s="9"/>
      <c r="I57" s="9"/>
    </row>
    <row r="58" spans="1:9" ht="12.75">
      <c r="A58" t="str">
        <f>"DMA"</f>
        <v>DMA</v>
      </c>
      <c r="B58" t="str">
        <f>"DOMINICA                      "</f>
        <v>DOMINICA                      </v>
      </c>
      <c r="G58" s="9"/>
      <c r="I58" s="9"/>
    </row>
    <row r="59" spans="1:9" ht="12.75">
      <c r="A59" t="str">
        <f>"DNK"</f>
        <v>DNK</v>
      </c>
      <c r="B59" t="str">
        <f>"DENMARK                       "</f>
        <v>DENMARK                       </v>
      </c>
      <c r="G59" s="9"/>
      <c r="I59" s="9"/>
    </row>
    <row r="60" spans="1:9" ht="12.75">
      <c r="A60" t="str">
        <f>"DOM"</f>
        <v>DOM</v>
      </c>
      <c r="B60" t="str">
        <f>"DOMINICAN R                   "</f>
        <v>DOMINICAN R                   </v>
      </c>
      <c r="G60" s="9"/>
      <c r="I60" s="9"/>
    </row>
    <row r="61" spans="1:9" ht="12.75">
      <c r="A61" t="str">
        <f>"DZA"</f>
        <v>DZA</v>
      </c>
      <c r="B61" t="str">
        <f>"ALGERIA                       "</f>
        <v>ALGERIA                       </v>
      </c>
      <c r="G61" s="9"/>
      <c r="I61" s="9"/>
    </row>
    <row r="62" spans="1:9" ht="12.75">
      <c r="A62" t="str">
        <f>"ECU"</f>
        <v>ECU</v>
      </c>
      <c r="B62" t="str">
        <f>"ECUADOR                       "</f>
        <v>ECUADOR                       </v>
      </c>
      <c r="G62" s="9"/>
      <c r="I62" s="9"/>
    </row>
    <row r="63" spans="1:9" ht="12.75">
      <c r="A63" t="str">
        <f>"EGY"</f>
        <v>EGY</v>
      </c>
      <c r="B63" t="str">
        <f>"EGYPT                         "</f>
        <v>EGYPT                         </v>
      </c>
      <c r="G63" s="9"/>
      <c r="I63" s="9"/>
    </row>
    <row r="64" spans="1:9" ht="12.75">
      <c r="A64" t="str">
        <f>"ERI"</f>
        <v>ERI</v>
      </c>
      <c r="B64" t="str">
        <f>"ERITREA                       "</f>
        <v>ERITREA                       </v>
      </c>
      <c r="G64" s="9"/>
      <c r="I64" s="9"/>
    </row>
    <row r="65" spans="1:9" ht="12.75">
      <c r="A65" t="str">
        <f>"ESH"</f>
        <v>ESH</v>
      </c>
      <c r="B65" t="str">
        <f>"TANGIER                       "</f>
        <v>TANGIER                       </v>
      </c>
      <c r="G65" s="9"/>
      <c r="I65" s="9"/>
    </row>
    <row r="66" spans="1:9" ht="12.75">
      <c r="A66" t="str">
        <f>"ESP"</f>
        <v>ESP</v>
      </c>
      <c r="B66" t="str">
        <f>"SPAIN                         "</f>
        <v>SPAIN                         </v>
      </c>
      <c r="G66" s="9"/>
      <c r="I66" s="9"/>
    </row>
    <row r="67" spans="1:9" ht="12.75">
      <c r="A67" t="str">
        <f>"EST"</f>
        <v>EST</v>
      </c>
      <c r="B67" t="str">
        <f>"ESTONIA                       "</f>
        <v>ESTONIA                       </v>
      </c>
      <c r="G67" s="9"/>
      <c r="I67" s="9"/>
    </row>
    <row r="68" spans="1:9" ht="12.75">
      <c r="A68" t="str">
        <f>"ETH"</f>
        <v>ETH</v>
      </c>
      <c r="B68" t="str">
        <f>"ETHIOPIA                      "</f>
        <v>ETHIOPIA                      </v>
      </c>
      <c r="G68" s="9"/>
      <c r="I68" s="9"/>
    </row>
    <row r="69" spans="1:9" ht="12.75">
      <c r="A69" t="str">
        <f>"FIN"</f>
        <v>FIN</v>
      </c>
      <c r="B69" t="str">
        <f>"FINLAND                       "</f>
        <v>FINLAND                       </v>
      </c>
      <c r="G69" s="9"/>
      <c r="I69" s="9"/>
    </row>
    <row r="70" spans="1:9" ht="12.75">
      <c r="A70" t="str">
        <f>"FJI"</f>
        <v>FJI</v>
      </c>
      <c r="B70" t="str">
        <f>"FIJI                          "</f>
        <v>FIJI                          </v>
      </c>
      <c r="G70" s="9"/>
      <c r="I70" s="9"/>
    </row>
    <row r="71" spans="1:9" ht="12.75">
      <c r="A71" t="str">
        <f>"FLK"</f>
        <v>FLK</v>
      </c>
      <c r="B71" t="str">
        <f>"FALKLAND                      "</f>
        <v>FALKLAND                      </v>
      </c>
      <c r="G71" s="9"/>
      <c r="I71" s="9"/>
    </row>
    <row r="72" spans="1:9" ht="12.75">
      <c r="A72" t="str">
        <f>"FRA"</f>
        <v>FRA</v>
      </c>
      <c r="B72" t="str">
        <f>"FRANCE                        "</f>
        <v>FRANCE                        </v>
      </c>
      <c r="G72" s="9"/>
      <c r="I72" s="9"/>
    </row>
    <row r="73" spans="1:9" ht="12.75">
      <c r="A73" t="str">
        <f>"FSM"</f>
        <v>FSM</v>
      </c>
      <c r="B73" t="str">
        <f>"MICRONESIA                    "</f>
        <v>MICRONESIA                    </v>
      </c>
      <c r="G73" s="9"/>
      <c r="I73" s="9"/>
    </row>
    <row r="74" spans="1:9" ht="12.75">
      <c r="A74" t="str">
        <f>"GAB"</f>
        <v>GAB</v>
      </c>
      <c r="B74" t="str">
        <f>"GABON                         "</f>
        <v>GABON                         </v>
      </c>
      <c r="G74" s="9"/>
      <c r="I74" s="9"/>
    </row>
    <row r="75" spans="1:9" ht="12.75">
      <c r="A75" t="str">
        <f>"GBR"</f>
        <v>GBR</v>
      </c>
      <c r="B75" t="str">
        <f>"UNITED KINGDOM                "</f>
        <v>UNITED KINGDOM                </v>
      </c>
      <c r="G75" s="9"/>
      <c r="I75" s="9"/>
    </row>
    <row r="76" spans="1:9" ht="12.75">
      <c r="A76" t="str">
        <f>"GEI"</f>
        <v>GEI</v>
      </c>
      <c r="B76" t="str">
        <f>"GILBERT  ELLICE ISL           "</f>
        <v>GILBERT  ELLICE ISL           </v>
      </c>
      <c r="G76" s="9"/>
      <c r="I76" s="9"/>
    </row>
    <row r="77" spans="1:9" ht="12.75">
      <c r="A77" t="str">
        <f>"GEO"</f>
        <v>GEO</v>
      </c>
      <c r="B77" t="str">
        <f>"GRUZIA                        "</f>
        <v>GRUZIA                        </v>
      </c>
      <c r="G77" s="9"/>
      <c r="I77" s="9"/>
    </row>
    <row r="78" spans="1:9" ht="12.75">
      <c r="A78" t="str">
        <f>"GHA"</f>
        <v>GHA</v>
      </c>
      <c r="B78" t="str">
        <f>"GHANA                         "</f>
        <v>GHANA                         </v>
      </c>
      <c r="G78" s="9"/>
      <c r="I78" s="9"/>
    </row>
    <row r="79" spans="1:9" ht="12.75">
      <c r="A79" t="str">
        <f>"GIB"</f>
        <v>GIB</v>
      </c>
      <c r="B79" t="str">
        <f>"GIBRALTAR                     "</f>
        <v>GIBRALTAR                     </v>
      </c>
      <c r="G79" s="9"/>
      <c r="I79" s="9"/>
    </row>
    <row r="80" spans="1:9" ht="12.75">
      <c r="A80" t="str">
        <f>"GIN"</f>
        <v>GIN</v>
      </c>
      <c r="B80" t="str">
        <f>"GUINEA                        "</f>
        <v>GUINEA                        </v>
      </c>
      <c r="G80" s="9"/>
      <c r="I80" s="9"/>
    </row>
    <row r="81" spans="1:9" ht="12.75">
      <c r="A81" t="str">
        <f>"GLP"</f>
        <v>GLP</v>
      </c>
      <c r="B81" t="str">
        <f>"GUADELOUPE                    "</f>
        <v>GUADELOUPE                    </v>
      </c>
      <c r="G81" s="9"/>
      <c r="I81" s="9"/>
    </row>
    <row r="82" spans="1:9" ht="12.75">
      <c r="A82" t="str">
        <f>"GMB"</f>
        <v>GMB</v>
      </c>
      <c r="B82" t="str">
        <f>"GAMBIA                        "</f>
        <v>GAMBIA                        </v>
      </c>
      <c r="G82" s="9"/>
      <c r="I82" s="9"/>
    </row>
    <row r="83" spans="1:9" ht="12.75">
      <c r="A83" t="str">
        <f>"GNB"</f>
        <v>GNB</v>
      </c>
      <c r="B83" t="str">
        <f>"GUINEA BISSAU                 "</f>
        <v>GUINEA BISSAU                 </v>
      </c>
      <c r="G83" s="9"/>
      <c r="I83" s="9"/>
    </row>
    <row r="84" spans="1:9" ht="12.75">
      <c r="A84" t="str">
        <f>"GNQ"</f>
        <v>GNQ</v>
      </c>
      <c r="B84" t="str">
        <f>"GUINEA EQ                     "</f>
        <v>GUINEA EQ                     </v>
      </c>
      <c r="G84" s="9"/>
      <c r="I84" s="9"/>
    </row>
    <row r="85" spans="1:9" ht="12.75">
      <c r="A85" t="str">
        <f>"GRC"</f>
        <v>GRC</v>
      </c>
      <c r="B85" t="str">
        <f>"GREECE                        "</f>
        <v>GREECE                        </v>
      </c>
      <c r="G85" s="9"/>
      <c r="I85" s="9"/>
    </row>
    <row r="86" spans="1:9" ht="12.75">
      <c r="A86" t="str">
        <f>"GRD"</f>
        <v>GRD</v>
      </c>
      <c r="B86" t="str">
        <f>"GRENADA                       "</f>
        <v>GRENADA                       </v>
      </c>
      <c r="G86" s="9"/>
      <c r="I86" s="9"/>
    </row>
    <row r="87" spans="1:9" ht="12.75">
      <c r="A87" t="str">
        <f>"GTM"</f>
        <v>GTM</v>
      </c>
      <c r="B87" t="str">
        <f>"GUATEMALA                     "</f>
        <v>GUATEMALA                     </v>
      </c>
      <c r="G87" s="9"/>
      <c r="I87" s="9"/>
    </row>
    <row r="88" spans="1:9" ht="12.75">
      <c r="A88" t="str">
        <f>"GUF"</f>
        <v>GUF</v>
      </c>
      <c r="B88" t="str">
        <f>"GUIANA FR                     "</f>
        <v>GUIANA FR                     </v>
      </c>
      <c r="G88" s="9"/>
      <c r="I88" s="9"/>
    </row>
    <row r="89" spans="1:9" ht="12.75">
      <c r="A89" t="str">
        <f>"GUM"</f>
        <v>GUM</v>
      </c>
      <c r="B89" t="str">
        <f>"GUAM                          "</f>
        <v>GUAM                          </v>
      </c>
      <c r="G89" s="9"/>
      <c r="I89" s="9"/>
    </row>
    <row r="90" spans="1:9" ht="12.75">
      <c r="A90" t="str">
        <f>"GUY"</f>
        <v>GUY</v>
      </c>
      <c r="B90" t="str">
        <f>"GUYANA                        "</f>
        <v>GUYANA                        </v>
      </c>
      <c r="G90" s="9"/>
      <c r="I90" s="9"/>
    </row>
    <row r="91" spans="1:9" ht="12.75">
      <c r="A91" t="str">
        <f>"HKG"</f>
        <v>HKG</v>
      </c>
      <c r="B91" t="str">
        <f>"HONG KONG                     "</f>
        <v>HONG KONG                     </v>
      </c>
      <c r="G91" s="9"/>
      <c r="I91" s="9"/>
    </row>
    <row r="92" spans="1:9" ht="12.75">
      <c r="A92" t="str">
        <f>"HND"</f>
        <v>HND</v>
      </c>
      <c r="B92" t="str">
        <f>"HONDURAS                      "</f>
        <v>HONDURAS                      </v>
      </c>
      <c r="G92" s="9"/>
      <c r="I92" s="9"/>
    </row>
    <row r="93" spans="1:9" ht="12.75">
      <c r="A93" t="str">
        <f>"HRV"</f>
        <v>HRV</v>
      </c>
      <c r="B93" t="str">
        <f>"CROATIA                       "</f>
        <v>CROATIA                       </v>
      </c>
      <c r="G93" s="9"/>
      <c r="I93" s="9"/>
    </row>
    <row r="94" spans="1:9" ht="12.75">
      <c r="A94" t="str">
        <f>"HTI"</f>
        <v>HTI</v>
      </c>
      <c r="B94" t="str">
        <f>"HAITI                         "</f>
        <v>HAITI                         </v>
      </c>
      <c r="G94" s="9"/>
      <c r="I94" s="9"/>
    </row>
    <row r="95" spans="1:9" ht="12.75">
      <c r="A95" t="str">
        <f>"HUN"</f>
        <v>HUN</v>
      </c>
      <c r="B95" t="str">
        <f>"HUNGARY                       "</f>
        <v>HUNGARY                       </v>
      </c>
      <c r="G95" s="9"/>
      <c r="I95" s="9"/>
    </row>
    <row r="96" spans="1:9" ht="12.75">
      <c r="A96" t="str">
        <f>"IDN"</f>
        <v>IDN</v>
      </c>
      <c r="B96" t="str">
        <f>"INDONESIA                     "</f>
        <v>INDONESIA                     </v>
      </c>
      <c r="G96" s="9"/>
      <c r="I96" s="9"/>
    </row>
    <row r="97" spans="1:9" ht="12.75">
      <c r="A97" t="str">
        <f>"IND"</f>
        <v>IND</v>
      </c>
      <c r="B97" t="str">
        <f>"INDIA                         "</f>
        <v>INDIA                         </v>
      </c>
      <c r="G97" s="9"/>
      <c r="I97" s="9"/>
    </row>
    <row r="98" spans="1:9" ht="12.75">
      <c r="A98" t="str">
        <f>"IRL"</f>
        <v>IRL</v>
      </c>
      <c r="B98" t="str">
        <f>"IRELAND                       "</f>
        <v>IRELAND                       </v>
      </c>
      <c r="G98" s="9"/>
      <c r="I98" s="9"/>
    </row>
    <row r="99" spans="1:9" ht="12.75">
      <c r="A99" t="str">
        <f>"IRN"</f>
        <v>IRN</v>
      </c>
      <c r="B99" t="str">
        <f>"IRAN                          "</f>
        <v>IRAN                          </v>
      </c>
      <c r="G99" s="9"/>
      <c r="I99" s="9"/>
    </row>
    <row r="100" spans="1:9" ht="12.75">
      <c r="A100" t="str">
        <f>"IRQ"</f>
        <v>IRQ</v>
      </c>
      <c r="B100" t="str">
        <f>"IRAQ                          "</f>
        <v>IRAQ                          </v>
      </c>
      <c r="G100" s="9"/>
      <c r="I100" s="9"/>
    </row>
    <row r="101" spans="1:9" ht="12.75">
      <c r="A101" t="str">
        <f>"ISL"</f>
        <v>ISL</v>
      </c>
      <c r="B101" t="str">
        <f>"ISLAND                        "</f>
        <v>ISLAND                        </v>
      </c>
      <c r="G101" s="9"/>
      <c r="I101" s="9"/>
    </row>
    <row r="102" spans="1:9" ht="12.75">
      <c r="A102" t="str">
        <f>"ISR"</f>
        <v>ISR</v>
      </c>
      <c r="B102" t="str">
        <f>"ISRAEL                        "</f>
        <v>ISRAEL                        </v>
      </c>
      <c r="G102" s="9"/>
      <c r="I102" s="9"/>
    </row>
    <row r="103" spans="1:9" ht="12.75">
      <c r="A103" t="str">
        <f>"ITA"</f>
        <v>ITA</v>
      </c>
      <c r="B103" t="str">
        <f>"ITALY                         "</f>
        <v>ITALY                         </v>
      </c>
      <c r="G103" s="9"/>
      <c r="I103" s="9"/>
    </row>
    <row r="104" spans="1:9" ht="12.75">
      <c r="A104" t="str">
        <f>"JAM"</f>
        <v>JAM</v>
      </c>
      <c r="B104" t="str">
        <f>"JAMAICA                       "</f>
        <v>JAMAICA                       </v>
      </c>
      <c r="G104" s="9"/>
      <c r="I104" s="9"/>
    </row>
    <row r="105" spans="1:9" ht="12.75">
      <c r="A105" t="str">
        <f>"JOR"</f>
        <v>JOR</v>
      </c>
      <c r="B105" t="str">
        <f>"JORDAN                        "</f>
        <v>JORDAN                        </v>
      </c>
      <c r="G105" s="9"/>
      <c r="I105" s="9"/>
    </row>
    <row r="106" spans="1:9" ht="12.75">
      <c r="A106" t="str">
        <f>"JPN"</f>
        <v>JPN</v>
      </c>
      <c r="B106" t="str">
        <f>"JAPAN                         "</f>
        <v>JAPAN                         </v>
      </c>
      <c r="G106" s="9"/>
      <c r="I106" s="9"/>
    </row>
    <row r="107" spans="1:9" ht="12.75">
      <c r="A107" t="str">
        <f>"KAZ"</f>
        <v>KAZ</v>
      </c>
      <c r="B107" t="str">
        <f>"KAZAKHSTAN                    "</f>
        <v>KAZAKHSTAN                    </v>
      </c>
      <c r="G107" s="9"/>
      <c r="I107" s="9"/>
    </row>
    <row r="108" spans="1:9" ht="12.75">
      <c r="A108" t="str">
        <f>"KEN"</f>
        <v>KEN</v>
      </c>
      <c r="B108" t="str">
        <f>"KENYA                         "</f>
        <v>KENYA                         </v>
      </c>
      <c r="G108" s="9"/>
      <c r="I108" s="9"/>
    </row>
    <row r="109" spans="1:9" ht="12.75">
      <c r="A109" t="str">
        <f>"KGZ"</f>
        <v>KGZ</v>
      </c>
      <c r="B109" t="str">
        <f>"KIRGHIZSTAN                   "</f>
        <v>KIRGHIZSTAN                   </v>
      </c>
      <c r="G109" s="9"/>
      <c r="I109" s="9"/>
    </row>
    <row r="110" spans="1:9" ht="12.75">
      <c r="A110" t="str">
        <f>"KHM"</f>
        <v>KHM</v>
      </c>
      <c r="B110" t="str">
        <f>"CAMBODIA                      "</f>
        <v>CAMBODIA                      </v>
      </c>
      <c r="G110" s="9"/>
      <c r="I110" s="9"/>
    </row>
    <row r="111" spans="1:9" ht="12.75">
      <c r="A111" t="str">
        <f>"KIR"</f>
        <v>KIR</v>
      </c>
      <c r="B111" t="str">
        <f>"KIRIBATI                      "</f>
        <v>KIRIBATI                      </v>
      </c>
      <c r="G111" s="9"/>
      <c r="I111" s="9"/>
    </row>
    <row r="112" spans="1:9" ht="12.75">
      <c r="A112" t="str">
        <f>"KNA"</f>
        <v>KNA</v>
      </c>
      <c r="B112" t="str">
        <f>"ST. KITTS &amp; NEVIS             "</f>
        <v>ST. KITTS &amp; NEVIS             </v>
      </c>
      <c r="G112" s="9"/>
      <c r="I112" s="9"/>
    </row>
    <row r="113" spans="1:9" ht="12.75">
      <c r="A113" t="str">
        <f>"KOR"</f>
        <v>KOR</v>
      </c>
      <c r="B113" t="str">
        <f>"KOREA                         "</f>
        <v>KOREA                         </v>
      </c>
      <c r="G113" s="9"/>
      <c r="I113" s="9"/>
    </row>
    <row r="114" spans="1:9" ht="12.75">
      <c r="A114" t="str">
        <f>"KWT"</f>
        <v>KWT</v>
      </c>
      <c r="B114" t="str">
        <f>"KUWAIT                        "</f>
        <v>KUWAIT                        </v>
      </c>
      <c r="G114" s="9"/>
      <c r="I114" s="9"/>
    </row>
    <row r="115" spans="1:9" ht="12.75">
      <c r="A115" t="str">
        <f>"LAO"</f>
        <v>LAO</v>
      </c>
      <c r="B115" t="str">
        <f>"LAOS                          "</f>
        <v>LAOS                          </v>
      </c>
      <c r="G115" s="9"/>
      <c r="I115" s="9"/>
    </row>
    <row r="116" spans="1:9" ht="12.75">
      <c r="A116" t="str">
        <f>"LBN"</f>
        <v>LBN</v>
      </c>
      <c r="B116" t="str">
        <f>"LEBANON                       "</f>
        <v>LEBANON                       </v>
      </c>
      <c r="G116" s="9"/>
      <c r="I116" s="9"/>
    </row>
    <row r="117" spans="1:9" ht="12.75">
      <c r="A117" t="str">
        <f>"LBR"</f>
        <v>LBR</v>
      </c>
      <c r="B117" t="str">
        <f>"LIBERIA                       "</f>
        <v>LIBERIA                       </v>
      </c>
      <c r="G117" s="9"/>
      <c r="I117" s="9"/>
    </row>
    <row r="118" spans="1:9" ht="12.75">
      <c r="A118" t="str">
        <f>"LBY"</f>
        <v>LBY</v>
      </c>
      <c r="B118" t="str">
        <f>"LIBYA                         "</f>
        <v>LIBYA                         </v>
      </c>
      <c r="G118" s="9"/>
      <c r="I118" s="9"/>
    </row>
    <row r="119" spans="1:9" ht="12.75">
      <c r="A119" t="str">
        <f>"LCA"</f>
        <v>LCA</v>
      </c>
      <c r="B119" t="str">
        <f>"ST LUCIA                      "</f>
        <v>ST LUCIA                      </v>
      </c>
      <c r="G119" s="9"/>
      <c r="I119" s="9"/>
    </row>
    <row r="120" spans="1:9" ht="12.75">
      <c r="A120" t="str">
        <f>"LIE"</f>
        <v>LIE</v>
      </c>
      <c r="B120" t="str">
        <f>"LIECHTENSTEIN                 "</f>
        <v>LIECHTENSTEIN                 </v>
      </c>
      <c r="G120" s="9"/>
      <c r="I120" s="9"/>
    </row>
    <row r="121" spans="1:9" ht="12.75">
      <c r="A121" t="str">
        <f>"LKA"</f>
        <v>LKA</v>
      </c>
      <c r="B121" t="str">
        <f>"SRI-LANKA                     "</f>
        <v>SRI-LANKA                     </v>
      </c>
      <c r="G121" s="9"/>
      <c r="I121" s="9"/>
    </row>
    <row r="122" spans="1:9" ht="12.75">
      <c r="A122" t="str">
        <f>"LSO"</f>
        <v>LSO</v>
      </c>
      <c r="B122" t="str">
        <f>"LESOTHO                       "</f>
        <v>LESOTHO                       </v>
      </c>
      <c r="G122" s="9"/>
      <c r="I122" s="9"/>
    </row>
    <row r="123" spans="1:9" ht="12.75">
      <c r="A123" t="str">
        <f>"LTU"</f>
        <v>LTU</v>
      </c>
      <c r="B123" t="str">
        <f>"LITHUANIA                     "</f>
        <v>LITHUANIA                     </v>
      </c>
      <c r="G123" s="9"/>
      <c r="I123" s="9"/>
    </row>
    <row r="124" spans="1:9" ht="12.75">
      <c r="A124" t="str">
        <f>"LUX"</f>
        <v>LUX</v>
      </c>
      <c r="B124" t="str">
        <f>"LUXEMBOURG                    "</f>
        <v>LUXEMBOURG                    </v>
      </c>
      <c r="G124" s="9"/>
      <c r="I124" s="9"/>
    </row>
    <row r="125" spans="1:9" ht="12.75">
      <c r="A125" t="str">
        <f>"LVA"</f>
        <v>LVA</v>
      </c>
      <c r="B125" t="str">
        <f>"LATVIA                        "</f>
        <v>LATVIA                        </v>
      </c>
      <c r="G125" s="9"/>
      <c r="I125" s="9"/>
    </row>
    <row r="126" spans="1:9" ht="12.75">
      <c r="A126" t="str">
        <f>"MAC"</f>
        <v>MAC</v>
      </c>
      <c r="B126" t="str">
        <f>"MACAO                         "</f>
        <v>MACAO                         </v>
      </c>
      <c r="G126" s="9"/>
      <c r="I126" s="9"/>
    </row>
    <row r="127" spans="1:9" ht="12.75">
      <c r="A127" t="str">
        <f>"MAR"</f>
        <v>MAR</v>
      </c>
      <c r="B127" t="str">
        <f>"MOROCCO                       "</f>
        <v>MOROCCO                       </v>
      </c>
      <c r="G127" s="9"/>
      <c r="I127" s="9"/>
    </row>
    <row r="128" spans="1:9" ht="12.75">
      <c r="A128" t="str">
        <f>"MCO"</f>
        <v>MCO</v>
      </c>
      <c r="B128" t="str">
        <f>"MONACO                        "</f>
        <v>MONACO                        </v>
      </c>
      <c r="G128" s="9"/>
      <c r="I128" s="9"/>
    </row>
    <row r="129" spans="1:9" ht="12.75">
      <c r="A129" t="str">
        <f>"MDA"</f>
        <v>MDA</v>
      </c>
      <c r="B129" t="str">
        <f>"MOLDOVA                       "</f>
        <v>MOLDOVA                       </v>
      </c>
      <c r="G129" s="9"/>
      <c r="I129" s="9"/>
    </row>
    <row r="130" spans="1:9" ht="12.75">
      <c r="A130" t="str">
        <f>"MDG"</f>
        <v>MDG</v>
      </c>
      <c r="B130" t="str">
        <f>"MADAGASCAR                    "</f>
        <v>MADAGASCAR                    </v>
      </c>
      <c r="G130" s="9"/>
      <c r="I130" s="9"/>
    </row>
    <row r="131" spans="1:9" ht="12.75">
      <c r="A131" t="str">
        <f>"MEX"</f>
        <v>MEX</v>
      </c>
      <c r="B131" t="str">
        <f>"MEXICO                        "</f>
        <v>MEXICO                        </v>
      </c>
      <c r="G131" s="9"/>
      <c r="I131" s="9"/>
    </row>
    <row r="132" spans="1:9" ht="12.75">
      <c r="A132" t="str">
        <f>"MHL"</f>
        <v>MHL</v>
      </c>
      <c r="B132" t="str">
        <f>"MARSHALL ISLANDS              "</f>
        <v>MARSHALL ISLANDS              </v>
      </c>
      <c r="G132" s="9"/>
      <c r="I132" s="9"/>
    </row>
    <row r="133" spans="1:9" ht="12.75">
      <c r="A133" t="str">
        <f>"MKD"</f>
        <v>MKD</v>
      </c>
      <c r="B133" t="str">
        <f>"MAKADONIA                     "</f>
        <v>MAKADONIA                     </v>
      </c>
      <c r="G133" s="9"/>
      <c r="I133" s="9"/>
    </row>
    <row r="134" spans="1:9" ht="12.75">
      <c r="A134" t="str">
        <f>"MLI"</f>
        <v>MLI</v>
      </c>
      <c r="B134" t="str">
        <f>"MALI                          "</f>
        <v>MALI                          </v>
      </c>
      <c r="G134" s="9"/>
      <c r="I134" s="9"/>
    </row>
    <row r="135" spans="1:9" ht="12.75">
      <c r="A135" t="str">
        <f>"MLT"</f>
        <v>MLT</v>
      </c>
      <c r="B135" t="str">
        <f>"MALTA                         "</f>
        <v>MALTA                         </v>
      </c>
      <c r="G135" s="9"/>
      <c r="I135" s="9"/>
    </row>
    <row r="136" spans="1:9" ht="12.75">
      <c r="A136" t="str">
        <f>"MLV"</f>
        <v>MLV</v>
      </c>
      <c r="B136" t="str">
        <f>"MALADIVES                     "</f>
        <v>MALADIVES                     </v>
      </c>
      <c r="G136" s="9"/>
      <c r="I136" s="9"/>
    </row>
    <row r="137" spans="1:9" ht="12.75">
      <c r="A137" t="str">
        <f>"MMR"</f>
        <v>MMR</v>
      </c>
      <c r="B137" t="str">
        <f>"MYANMAR (BURMA)               "</f>
        <v>MYANMAR (BURMA)               </v>
      </c>
      <c r="G137" s="9"/>
      <c r="I137" s="9"/>
    </row>
    <row r="138" spans="1:9" ht="12.75">
      <c r="A138" t="str">
        <f>"MNE"</f>
        <v>MNE</v>
      </c>
      <c r="B138" t="str">
        <f>"MONTENEGRO                    "</f>
        <v>MONTENEGRO                    </v>
      </c>
      <c r="G138" s="9"/>
      <c r="I138" s="9"/>
    </row>
    <row r="139" spans="1:9" ht="12.75">
      <c r="A139" t="str">
        <f>"MNG"</f>
        <v>MNG</v>
      </c>
      <c r="B139" t="str">
        <f>"MONGOLIA                      "</f>
        <v>MONGOLIA                      </v>
      </c>
      <c r="G139" s="9"/>
      <c r="I139" s="9"/>
    </row>
    <row r="140" spans="1:9" ht="12.75">
      <c r="A140" t="str">
        <f>"MOZ"</f>
        <v>MOZ</v>
      </c>
      <c r="B140" t="str">
        <f>"MOZAMBIQUE                    "</f>
        <v>MOZAMBIQUE                    </v>
      </c>
      <c r="G140" s="9"/>
      <c r="I140" s="9"/>
    </row>
    <row r="141" spans="1:9" ht="12.75">
      <c r="A141" t="str">
        <f>"MRT"</f>
        <v>MRT</v>
      </c>
      <c r="B141" t="str">
        <f>"MAURITANIA                    "</f>
        <v>MAURITANIA                    </v>
      </c>
      <c r="G141" s="9"/>
      <c r="I141" s="9"/>
    </row>
    <row r="142" spans="1:9" ht="12.75">
      <c r="A142" t="str">
        <f>"MSR"</f>
        <v>MSR</v>
      </c>
      <c r="B142" t="str">
        <f>"MONTSERRAT                    "</f>
        <v>MONTSERRAT                    </v>
      </c>
      <c r="G142" s="9"/>
      <c r="I142" s="9"/>
    </row>
    <row r="143" spans="1:9" ht="12.75">
      <c r="A143" t="str">
        <f>"MTQ"</f>
        <v>MTQ</v>
      </c>
      <c r="B143" t="str">
        <f>"MARTINIQUE                    "</f>
        <v>MARTINIQUE                    </v>
      </c>
      <c r="G143" s="9"/>
      <c r="I143" s="9"/>
    </row>
    <row r="144" spans="1:9" ht="12.75">
      <c r="A144" t="str">
        <f>"MUS"</f>
        <v>MUS</v>
      </c>
      <c r="B144" t="str">
        <f>"MAURITIUS                     "</f>
        <v>MAURITIUS                     </v>
      </c>
      <c r="G144" s="9"/>
      <c r="I144" s="9"/>
    </row>
    <row r="145" spans="1:9" ht="12.75">
      <c r="A145" t="str">
        <f>"MWI"</f>
        <v>MWI</v>
      </c>
      <c r="B145" t="str">
        <f>"MALAWI                        "</f>
        <v>MALAWI                        </v>
      </c>
      <c r="G145" s="9"/>
      <c r="I145" s="9"/>
    </row>
    <row r="146" spans="1:9" ht="12.75">
      <c r="A146" t="str">
        <f>"MYS"</f>
        <v>MYS</v>
      </c>
      <c r="B146" t="str">
        <f>"MALAYSIA                      "</f>
        <v>MALAYSIA                      </v>
      </c>
      <c r="G146" s="9"/>
      <c r="I146" s="9"/>
    </row>
    <row r="147" spans="1:9" ht="12.75">
      <c r="A147" t="str">
        <f>"NAM"</f>
        <v>NAM</v>
      </c>
      <c r="B147" t="str">
        <f>"NAMIBIA                       "</f>
        <v>NAMIBIA                       </v>
      </c>
      <c r="G147" s="9"/>
      <c r="I147" s="9"/>
    </row>
    <row r="148" spans="1:9" ht="12.75">
      <c r="A148" t="str">
        <f>"NCL"</f>
        <v>NCL</v>
      </c>
      <c r="B148" t="str">
        <f>"NEW CALEDONIA                 "</f>
        <v>NEW CALEDONIA                 </v>
      </c>
      <c r="G148" s="9"/>
      <c r="I148" s="9"/>
    </row>
    <row r="149" spans="1:9" ht="12.75">
      <c r="A149" t="str">
        <f>"NER"</f>
        <v>NER</v>
      </c>
      <c r="B149" t="str">
        <f>"NIGER                         "</f>
        <v>NIGER                         </v>
      </c>
      <c r="G149" s="9"/>
      <c r="I149" s="9"/>
    </row>
    <row r="150" spans="1:9" ht="12.75">
      <c r="A150" t="str">
        <f>"NFK"</f>
        <v>NFK</v>
      </c>
      <c r="B150" t="str">
        <f>"NORFOLK ISLA                  "</f>
        <v>NORFOLK ISLA                  </v>
      </c>
      <c r="G150" s="9"/>
      <c r="I150" s="9"/>
    </row>
    <row r="151" spans="1:9" ht="12.75">
      <c r="A151" t="str">
        <f>"NGA"</f>
        <v>NGA</v>
      </c>
      <c r="B151" t="str">
        <f>"NIGERIA                       "</f>
        <v>NIGERIA                       </v>
      </c>
      <c r="G151" s="9"/>
      <c r="I151" s="9"/>
    </row>
    <row r="152" spans="1:9" ht="12.75">
      <c r="A152" t="str">
        <f>"NIC"</f>
        <v>NIC</v>
      </c>
      <c r="B152" t="str">
        <f>"NICARAGUA                     "</f>
        <v>NICARAGUA                     </v>
      </c>
      <c r="G152" s="9"/>
      <c r="I152" s="9"/>
    </row>
    <row r="153" spans="1:9" ht="12.75">
      <c r="A153" t="str">
        <f>"NLD"</f>
        <v>NLD</v>
      </c>
      <c r="B153" t="str">
        <f>"NETHERLANDS                   "</f>
        <v>NETHERLANDS                   </v>
      </c>
      <c r="G153" s="9"/>
      <c r="I153" s="9"/>
    </row>
    <row r="154" spans="1:9" ht="12.75">
      <c r="A154" t="str">
        <f>"NOR"</f>
        <v>NOR</v>
      </c>
      <c r="B154" t="str">
        <f>"NORWAY                        "</f>
        <v>NORWAY                        </v>
      </c>
      <c r="G154" s="9"/>
      <c r="I154" s="9"/>
    </row>
    <row r="155" spans="1:9" ht="12.75">
      <c r="A155" t="str">
        <f>"NPL"</f>
        <v>NPL</v>
      </c>
      <c r="B155" t="str">
        <f>"NEPAL                         "</f>
        <v>NEPAL                         </v>
      </c>
      <c r="G155" s="9"/>
      <c r="I155" s="9"/>
    </row>
    <row r="156" spans="1:9" ht="12.75">
      <c r="A156" t="str">
        <f>"NRU"</f>
        <v>NRU</v>
      </c>
      <c r="B156" t="str">
        <f>"NAURU                         "</f>
        <v>NAURU                         </v>
      </c>
      <c r="G156" s="9"/>
      <c r="I156" s="9"/>
    </row>
    <row r="157" spans="1:9" ht="12.75">
      <c r="A157" t="str">
        <f>"NZL"</f>
        <v>NZL</v>
      </c>
      <c r="B157" t="str">
        <f>"NEW ZEALAND                   "</f>
        <v>NEW ZEALAND                   </v>
      </c>
      <c r="G157" s="9"/>
      <c r="I157" s="9"/>
    </row>
    <row r="158" spans="1:9" ht="12.75">
      <c r="A158" t="str">
        <f>"OMN"</f>
        <v>OMN</v>
      </c>
      <c r="B158" t="str">
        <f>"OMAN                          "</f>
        <v>OMAN                          </v>
      </c>
      <c r="G158" s="9"/>
      <c r="I158" s="9"/>
    </row>
    <row r="159" spans="1:9" ht="12.75">
      <c r="A159" t="str">
        <f>"PAK"</f>
        <v>PAK</v>
      </c>
      <c r="B159" t="str">
        <f>"PAKISTAN                      "</f>
        <v>PAKISTAN                      </v>
      </c>
      <c r="G159" s="9"/>
      <c r="I159" s="9"/>
    </row>
    <row r="160" spans="1:9" ht="12.75">
      <c r="A160" t="str">
        <f>"PAN"</f>
        <v>PAN</v>
      </c>
      <c r="B160" t="str">
        <f>"PANAMA                        "</f>
        <v>PANAMA                        </v>
      </c>
      <c r="G160" s="9"/>
      <c r="I160" s="9"/>
    </row>
    <row r="161" spans="1:9" ht="12.75">
      <c r="A161" t="str">
        <f>"PER"</f>
        <v>PER</v>
      </c>
      <c r="B161" t="str">
        <f>"PERU                          "</f>
        <v>PERU                          </v>
      </c>
      <c r="G161" s="9"/>
      <c r="I161" s="9"/>
    </row>
    <row r="162" spans="1:9" ht="12.75">
      <c r="A162" t="str">
        <f>"PHL"</f>
        <v>PHL</v>
      </c>
      <c r="B162" t="str">
        <f>"PHILIPPINES                   "</f>
        <v>PHILIPPINES                   </v>
      </c>
      <c r="G162" s="9"/>
      <c r="I162" s="9"/>
    </row>
    <row r="163" spans="1:9" ht="12.75">
      <c r="A163" t="str">
        <f>"PLW"</f>
        <v>PLW</v>
      </c>
      <c r="B163" t="str">
        <f>"PALAU                         "</f>
        <v>PALAU                         </v>
      </c>
      <c r="G163" s="9"/>
      <c r="I163" s="9"/>
    </row>
    <row r="164" spans="1:9" ht="12.75">
      <c r="A164" t="str">
        <f>"PNG"</f>
        <v>PNG</v>
      </c>
      <c r="B164" t="str">
        <f>"PAPUA                         "</f>
        <v>PAPUA                         </v>
      </c>
      <c r="G164" s="9"/>
      <c r="I164" s="9"/>
    </row>
    <row r="165" spans="1:9" ht="12.75">
      <c r="A165" t="str">
        <f>"POL"</f>
        <v>POL</v>
      </c>
      <c r="B165" t="str">
        <f>"POLAND                        "</f>
        <v>POLAND                        </v>
      </c>
      <c r="G165" s="9"/>
      <c r="I165" s="9"/>
    </row>
    <row r="166" spans="1:9" ht="12.75">
      <c r="A166" t="str">
        <f>"PRI"</f>
        <v>PRI</v>
      </c>
      <c r="B166" t="str">
        <f>"PUERTO RICO                   "</f>
        <v>PUERTO RICO                   </v>
      </c>
      <c r="G166" s="9"/>
      <c r="I166" s="9"/>
    </row>
    <row r="167" spans="1:9" ht="12.75">
      <c r="A167" t="str">
        <f>"PRK"</f>
        <v>PRK</v>
      </c>
      <c r="B167" t="str">
        <f>"N KOREA                       "</f>
        <v>N KOREA                       </v>
      </c>
      <c r="G167" s="9"/>
      <c r="I167" s="9"/>
    </row>
    <row r="168" spans="1:9" ht="12.75">
      <c r="A168" t="str">
        <f>"PRT"</f>
        <v>PRT</v>
      </c>
      <c r="B168" t="str">
        <f>"PORTUGAL                      "</f>
        <v>PORTUGAL                      </v>
      </c>
      <c r="G168" s="9"/>
      <c r="I168" s="9"/>
    </row>
    <row r="169" spans="1:9" ht="12.75">
      <c r="A169" t="str">
        <f>"PRY"</f>
        <v>PRY</v>
      </c>
      <c r="B169" t="str">
        <f>"PARAGUAY                      "</f>
        <v>PARAGUAY                      </v>
      </c>
      <c r="G169" s="9"/>
      <c r="I169" s="9"/>
    </row>
    <row r="170" spans="1:9" ht="12.75">
      <c r="A170" t="str">
        <f>"PS "</f>
        <v>PS </v>
      </c>
      <c r="B170" t="str">
        <f>"PALESTINIAN AUTHORITY (BG)    "</f>
        <v>PALESTINIAN AUTHORITY (BG)    </v>
      </c>
      <c r="G170" s="9"/>
      <c r="I170" s="9"/>
    </row>
    <row r="171" spans="1:9" ht="12.75">
      <c r="A171" t="str">
        <f>"PSE"</f>
        <v>PSE</v>
      </c>
      <c r="B171" t="str">
        <f>"PALESTINE AUTHORITY (BG)      "</f>
        <v>PALESTINE AUTHORITY (BG)      </v>
      </c>
      <c r="G171" s="9"/>
      <c r="I171" s="9"/>
    </row>
    <row r="172" spans="1:9" ht="12.75">
      <c r="A172" t="str">
        <f>"PTM"</f>
        <v>PTM</v>
      </c>
      <c r="B172" t="str">
        <f>"PORTUGUESE TIMOR              "</f>
        <v>PORTUGUESE TIMOR              </v>
      </c>
      <c r="G172" s="9"/>
      <c r="I172" s="9"/>
    </row>
    <row r="173" spans="1:9" ht="12.75">
      <c r="A173" t="str">
        <f>"PYF"</f>
        <v>PYF</v>
      </c>
      <c r="B173" t="str">
        <f>"FRENCH POLYNESIA              "</f>
        <v>FRENCH POLYNESIA              </v>
      </c>
      <c r="G173" s="9"/>
      <c r="I173" s="9"/>
    </row>
    <row r="174" spans="1:9" ht="12.75">
      <c r="A174" t="str">
        <f>"QAT"</f>
        <v>QAT</v>
      </c>
      <c r="B174" t="str">
        <f>"QATAR                         "</f>
        <v>QATAR                         </v>
      </c>
      <c r="G174" s="9"/>
      <c r="I174" s="9"/>
    </row>
    <row r="175" spans="1:9" ht="12.75">
      <c r="A175" t="str">
        <f>"REU"</f>
        <v>REU</v>
      </c>
      <c r="B175" t="str">
        <f>"REUNION                       "</f>
        <v>REUNION                       </v>
      </c>
      <c r="G175" s="9"/>
      <c r="I175" s="9"/>
    </row>
    <row r="176" spans="1:9" ht="12.75">
      <c r="A176" t="str">
        <f>"RKS"</f>
        <v>RKS</v>
      </c>
      <c r="B176" t="str">
        <f>"KOSOVO                        "</f>
        <v>KOSOVO                        </v>
      </c>
      <c r="G176" s="9"/>
      <c r="I176" s="9"/>
    </row>
    <row r="177" spans="1:9" ht="12.75">
      <c r="A177" t="str">
        <f>"ROU"</f>
        <v>ROU</v>
      </c>
      <c r="B177" t="str">
        <f>"ROMANIA                       "</f>
        <v>ROMANIA                       </v>
      </c>
      <c r="G177" s="9"/>
      <c r="I177" s="9"/>
    </row>
    <row r="178" spans="1:9" ht="12.75">
      <c r="A178" t="str">
        <f>"RUS"</f>
        <v>RUS</v>
      </c>
      <c r="B178" t="str">
        <f>"RUSSIAN FEDERATION            "</f>
        <v>RUSSIAN FEDERATION            </v>
      </c>
      <c r="G178" s="9"/>
      <c r="I178" s="9"/>
    </row>
    <row r="179" spans="1:9" ht="12.75">
      <c r="A179" t="str">
        <f>"RWA"</f>
        <v>RWA</v>
      </c>
      <c r="B179" t="str">
        <f>"RWANDA                        "</f>
        <v>RWANDA                        </v>
      </c>
      <c r="G179" s="9"/>
      <c r="I179" s="9"/>
    </row>
    <row r="180" spans="1:9" ht="12.75">
      <c r="A180" t="str">
        <f>"SAU"</f>
        <v>SAU</v>
      </c>
      <c r="B180" t="str">
        <f>"SAUDI ARABIA                  "</f>
        <v>SAUDI ARABIA                  </v>
      </c>
      <c r="G180" s="9"/>
      <c r="I180" s="9"/>
    </row>
    <row r="181" spans="1:9" ht="12.75">
      <c r="A181" t="str">
        <f>"SDN"</f>
        <v>SDN</v>
      </c>
      <c r="B181" t="str">
        <f>"SUDAN                         "</f>
        <v>SUDAN                         </v>
      </c>
      <c r="G181" s="9"/>
      <c r="I181" s="9"/>
    </row>
    <row r="182" spans="1:9" ht="12.75">
      <c r="A182" t="str">
        <f>"SEN"</f>
        <v>SEN</v>
      </c>
      <c r="B182" t="str">
        <f>"SENEGAL                       "</f>
        <v>SENEGAL                       </v>
      </c>
      <c r="G182" s="9"/>
      <c r="I182" s="9"/>
    </row>
    <row r="183" spans="1:9" ht="12.75">
      <c r="A183" t="str">
        <f>"SGP"</f>
        <v>SGP</v>
      </c>
      <c r="B183" t="str">
        <f>"SINGAPORE                     "</f>
        <v>SINGAPORE                     </v>
      </c>
      <c r="G183" s="9"/>
      <c r="I183" s="9"/>
    </row>
    <row r="184" spans="1:9" ht="12.75">
      <c r="A184" t="str">
        <f>"SHN"</f>
        <v>SHN</v>
      </c>
      <c r="B184" t="str">
        <f>"ST HELENA                     "</f>
        <v>ST HELENA                     </v>
      </c>
      <c r="G184" s="9"/>
      <c r="I184" s="9"/>
    </row>
    <row r="185" spans="1:9" ht="12.75">
      <c r="A185" t="str">
        <f>"SKR"</f>
        <v>SKR</v>
      </c>
      <c r="B185" t="str">
        <f>"S KOREA                       "</f>
        <v>S KOREA                       </v>
      </c>
      <c r="G185" s="9"/>
      <c r="I185" s="9"/>
    </row>
    <row r="186" spans="1:9" ht="12.75">
      <c r="A186" t="str">
        <f>"SLB"</f>
        <v>SLB</v>
      </c>
      <c r="B186" t="str">
        <f>"SOLOMON ISLANDS               "</f>
        <v>SOLOMON ISLANDS               </v>
      </c>
      <c r="G186" s="9"/>
      <c r="I186" s="9"/>
    </row>
    <row r="187" spans="1:9" ht="12.75">
      <c r="A187" t="str">
        <f>"SLE"</f>
        <v>SLE</v>
      </c>
      <c r="B187" t="str">
        <f>"SIERRA LEONE                  "</f>
        <v>SIERRA LEONE                  </v>
      </c>
      <c r="G187" s="9"/>
      <c r="I187" s="9"/>
    </row>
    <row r="188" spans="1:9" ht="12.75">
      <c r="A188" t="str">
        <f>"SLV"</f>
        <v>SLV</v>
      </c>
      <c r="B188" t="str">
        <f>"EL SALVADOR                   "</f>
        <v>EL SALVADOR                   </v>
      </c>
      <c r="G188" s="9"/>
      <c r="I188" s="9"/>
    </row>
    <row r="189" spans="1:9" ht="12.75">
      <c r="A189" t="str">
        <f>"SMR"</f>
        <v>SMR</v>
      </c>
      <c r="B189" t="str">
        <f>"SAN MARINO                    "</f>
        <v>SAN MARINO                    </v>
      </c>
      <c r="G189" s="9"/>
      <c r="I189" s="9"/>
    </row>
    <row r="190" spans="1:9" ht="12.75">
      <c r="A190" t="str">
        <f>"SOM"</f>
        <v>SOM</v>
      </c>
      <c r="B190" t="str">
        <f>"SOMALIA                       "</f>
        <v>SOMALIA                       </v>
      </c>
      <c r="G190" s="9"/>
      <c r="I190" s="9"/>
    </row>
    <row r="191" spans="1:9" ht="12.75">
      <c r="A191" t="str">
        <f>"SRB"</f>
        <v>SRB</v>
      </c>
      <c r="B191" t="str">
        <f>"SERBIA                        "</f>
        <v>SERBIA                        </v>
      </c>
      <c r="G191" s="9"/>
      <c r="I191" s="9"/>
    </row>
    <row r="192" spans="1:9" ht="12.75">
      <c r="A192" t="str">
        <f>"SSD"</f>
        <v>SSD</v>
      </c>
      <c r="B192" t="str">
        <f>"SOUTH SUDAN                   "</f>
        <v>SOUTH SUDAN                   </v>
      </c>
      <c r="G192" s="9"/>
      <c r="I192" s="9"/>
    </row>
    <row r="193" spans="1:9" ht="12.75">
      <c r="A193" t="str">
        <f>"STP"</f>
        <v>STP</v>
      </c>
      <c r="B193" t="str">
        <f>"SAO TOME AND PRINCIP          "</f>
        <v>SAO TOME AND PRINCIP          </v>
      </c>
      <c r="G193" s="9"/>
      <c r="I193" s="9"/>
    </row>
    <row r="194" spans="1:9" ht="12.75">
      <c r="A194" t="str">
        <f>"SUR"</f>
        <v>SUR</v>
      </c>
      <c r="B194" t="str">
        <f>"SURINAME                      "</f>
        <v>SURINAME                      </v>
      </c>
      <c r="G194" s="9"/>
      <c r="I194" s="9"/>
    </row>
    <row r="195" spans="1:9" ht="12.75">
      <c r="A195" t="str">
        <f>"SVK"</f>
        <v>SVK</v>
      </c>
      <c r="B195" t="str">
        <f>"SLOVAKIA                      "</f>
        <v>SLOVAKIA                      </v>
      </c>
      <c r="G195" s="9"/>
      <c r="I195" s="9"/>
    </row>
    <row r="196" spans="1:9" ht="12.75">
      <c r="A196" t="str">
        <f>"SVN"</f>
        <v>SVN</v>
      </c>
      <c r="B196" t="str">
        <f>"SLOVENIA                      "</f>
        <v>SLOVENIA                      </v>
      </c>
      <c r="G196" s="9"/>
      <c r="I196" s="9"/>
    </row>
    <row r="197" spans="1:9" ht="12.75">
      <c r="A197" t="str">
        <f>"SWE"</f>
        <v>SWE</v>
      </c>
      <c r="B197" t="str">
        <f>"SWEDEN                        "</f>
        <v>SWEDEN                        </v>
      </c>
      <c r="G197" s="9"/>
      <c r="I197" s="9"/>
    </row>
    <row r="198" spans="1:9" ht="12.75">
      <c r="A198" t="str">
        <f>"SWZ"</f>
        <v>SWZ</v>
      </c>
      <c r="B198" t="str">
        <f>"SWAZILAND                     "</f>
        <v>SWAZILAND                     </v>
      </c>
      <c r="G198" s="9"/>
      <c r="I198" s="9"/>
    </row>
    <row r="199" spans="1:9" ht="12.75">
      <c r="A199" t="str">
        <f>"SYC"</f>
        <v>SYC</v>
      </c>
      <c r="B199" t="str">
        <f>"SEYCHELLES                    "</f>
        <v>SEYCHELLES                    </v>
      </c>
      <c r="G199" s="9"/>
      <c r="I199" s="9"/>
    </row>
    <row r="200" spans="1:9" ht="12.75">
      <c r="A200" t="str">
        <f>"SYR"</f>
        <v>SYR</v>
      </c>
      <c r="B200" t="str">
        <f>"SYRIA                         "</f>
        <v>SYRIA                         </v>
      </c>
      <c r="G200" s="9"/>
      <c r="I200" s="9"/>
    </row>
    <row r="201" spans="1:9" ht="12.75">
      <c r="A201" t="str">
        <f>"TCA"</f>
        <v>TCA</v>
      </c>
      <c r="B201" t="str">
        <f>"TORKAS ISLAND                 "</f>
        <v>TORKAS ISLAND                 </v>
      </c>
      <c r="G201" s="9"/>
      <c r="I201" s="9"/>
    </row>
    <row r="202" spans="1:9" ht="12.75">
      <c r="A202" t="str">
        <f>"TCD"</f>
        <v>TCD</v>
      </c>
      <c r="B202" t="str">
        <f>"CHAD                          "</f>
        <v>CHAD                          </v>
      </c>
      <c r="G202" s="9"/>
      <c r="I202" s="9"/>
    </row>
    <row r="203" spans="1:9" ht="12.75">
      <c r="A203" t="str">
        <f>"TGO"</f>
        <v>TGO</v>
      </c>
      <c r="B203" t="str">
        <f>"TOGO                          "</f>
        <v>TOGO                          </v>
      </c>
      <c r="G203" s="9"/>
      <c r="I203" s="9"/>
    </row>
    <row r="204" spans="1:9" ht="12.75">
      <c r="A204" t="str">
        <f>"THA"</f>
        <v>THA</v>
      </c>
      <c r="B204" t="str">
        <f>"THAILAND                      "</f>
        <v>THAILAND                      </v>
      </c>
      <c r="G204" s="9"/>
      <c r="I204" s="9"/>
    </row>
    <row r="205" spans="1:9" ht="12.75">
      <c r="A205" t="str">
        <f>"TJK"</f>
        <v>TJK</v>
      </c>
      <c r="B205" t="str">
        <f>"TAJIKISTAN                    "</f>
        <v>TAJIKISTAN                    </v>
      </c>
      <c r="G205" s="9"/>
      <c r="I205" s="9"/>
    </row>
    <row r="206" spans="1:9" ht="12.75">
      <c r="A206" t="str">
        <f>"TKM"</f>
        <v>TKM</v>
      </c>
      <c r="B206" t="str">
        <f>"TURKMENISTAN                  "</f>
        <v>TURKMENISTAN                  </v>
      </c>
      <c r="G206" s="9"/>
      <c r="I206" s="9"/>
    </row>
    <row r="207" spans="1:9" ht="12.75">
      <c r="A207" t="str">
        <f>"TLS"</f>
        <v>TLS</v>
      </c>
      <c r="B207" t="str">
        <f>"TIMOR- LESTE                  "</f>
        <v>TIMOR- LESTE                  </v>
      </c>
      <c r="G207" s="9"/>
      <c r="I207" s="9"/>
    </row>
    <row r="208" spans="1:9" ht="12.75">
      <c r="A208" t="str">
        <f>"TON"</f>
        <v>TON</v>
      </c>
      <c r="B208" t="str">
        <f>"TONGA                         "</f>
        <v>TONGA                         </v>
      </c>
      <c r="G208" s="9"/>
      <c r="I208" s="9"/>
    </row>
    <row r="209" spans="1:9" ht="12.75">
      <c r="A209" t="str">
        <f>"TTO"</f>
        <v>TTO</v>
      </c>
      <c r="B209" t="str">
        <f>"TRINIDAD AND TOBAGO           "</f>
        <v>TRINIDAD AND TOBAGO           </v>
      </c>
      <c r="G209" s="9"/>
      <c r="I209" s="9"/>
    </row>
    <row r="210" spans="1:9" ht="12.75">
      <c r="A210" t="str">
        <f>"TUN"</f>
        <v>TUN</v>
      </c>
      <c r="B210" t="str">
        <f>"TUNISIA                       "</f>
        <v>TUNISIA                       </v>
      </c>
      <c r="G210" s="9"/>
      <c r="I210" s="9"/>
    </row>
    <row r="211" spans="1:9" ht="12.75">
      <c r="A211" t="str">
        <f>"TUR"</f>
        <v>TUR</v>
      </c>
      <c r="B211" t="str">
        <f>"TURKEY                        "</f>
        <v>TURKEY                        </v>
      </c>
      <c r="G211" s="9"/>
      <c r="I211" s="9"/>
    </row>
    <row r="212" spans="1:9" ht="12.75">
      <c r="A212" t="str">
        <f>"TUV"</f>
        <v>TUV</v>
      </c>
      <c r="B212" t="str">
        <f>"TUVALU                        "</f>
        <v>TUVALU                        </v>
      </c>
      <c r="G212" s="9"/>
      <c r="I212" s="9"/>
    </row>
    <row r="213" spans="1:9" ht="12.75">
      <c r="A213" t="str">
        <f>"TWN"</f>
        <v>TWN</v>
      </c>
      <c r="B213" t="str">
        <f>"TAIWAN                        "</f>
        <v>TAIWAN                        </v>
      </c>
      <c r="G213" s="9"/>
      <c r="I213" s="9"/>
    </row>
    <row r="214" spans="1:9" ht="12.75">
      <c r="A214" t="str">
        <f>"TZA"</f>
        <v>TZA</v>
      </c>
      <c r="B214" t="str">
        <f>"TANZANIA                      "</f>
        <v>TANZANIA                      </v>
      </c>
      <c r="G214" s="9"/>
      <c r="I214" s="9"/>
    </row>
    <row r="215" spans="1:9" ht="12.75">
      <c r="A215" t="str">
        <f>"UGA"</f>
        <v>UGA</v>
      </c>
      <c r="B215" t="str">
        <f>"UGANDA                        "</f>
        <v>UGANDA                        </v>
      </c>
      <c r="G215" s="9"/>
      <c r="I215" s="9"/>
    </row>
    <row r="216" spans="1:9" ht="12.75">
      <c r="A216" t="str">
        <f>"UKR"</f>
        <v>UKR</v>
      </c>
      <c r="B216" t="str">
        <f>"UKRAINE                       "</f>
        <v>UKRAINE                       </v>
      </c>
      <c r="G216" s="9"/>
      <c r="I216" s="9"/>
    </row>
    <row r="217" spans="1:9" ht="12.75">
      <c r="A217" t="str">
        <f>"UN "</f>
        <v>UN </v>
      </c>
      <c r="B217" t="str">
        <f>"UNITED NATIONS ORGANIZATION BG"</f>
        <v>UNITED NATIONS ORGANIZATION BG</v>
      </c>
      <c r="G217" s="9"/>
      <c r="I217" s="9"/>
    </row>
    <row r="218" spans="1:9" ht="12.75">
      <c r="A218" t="str">
        <f>"UND"</f>
        <v>UND</v>
      </c>
      <c r="B218" t="str">
        <f>"UNDEFINED COUNTRY (BG)        "</f>
        <v>UNDEFINED COUNTRY (BG)        </v>
      </c>
      <c r="G218" s="9"/>
      <c r="I218" s="9"/>
    </row>
    <row r="219" spans="1:9" ht="12.75">
      <c r="A219" t="str">
        <f>"URY"</f>
        <v>URY</v>
      </c>
      <c r="B219" t="str">
        <f>"URUGUAY                       "</f>
        <v>URUGUAY                       </v>
      </c>
      <c r="G219" s="9"/>
      <c r="I219" s="9"/>
    </row>
    <row r="220" spans="1:9" ht="12.75">
      <c r="A220" t="str">
        <f>"USA"</f>
        <v>USA</v>
      </c>
      <c r="B220" t="str">
        <f>"USA                           "</f>
        <v>USA                           </v>
      </c>
      <c r="G220" s="9"/>
      <c r="I220" s="9"/>
    </row>
    <row r="221" spans="1:9" ht="12.75">
      <c r="A221" t="str">
        <f>"USS"</f>
        <v>USS</v>
      </c>
      <c r="B221" t="str">
        <f>"USSR                          "</f>
        <v>USSR                          </v>
      </c>
      <c r="G221" s="9"/>
      <c r="I221" s="9"/>
    </row>
    <row r="222" spans="1:9" ht="12.75">
      <c r="A222" t="str">
        <f>"UZB"</f>
        <v>UZB</v>
      </c>
      <c r="B222" t="str">
        <f>"UZBEKISTAN                    "</f>
        <v>UZBEKISTAN                    </v>
      </c>
      <c r="G222" s="9"/>
      <c r="I222" s="9"/>
    </row>
    <row r="223" spans="1:9" ht="12.75">
      <c r="A223" t="str">
        <f>"VAT"</f>
        <v>VAT</v>
      </c>
      <c r="B223" t="str">
        <f>"VATICAN (HOLY SEE)            "</f>
        <v>VATICAN (HOLY SEE)            </v>
      </c>
      <c r="G223" s="9"/>
      <c r="I223" s="9"/>
    </row>
    <row r="224" spans="1:9" ht="12.75">
      <c r="A224" t="str">
        <f>"VCT"</f>
        <v>VCT</v>
      </c>
      <c r="B224" t="str">
        <f>"ST VINCENT                    "</f>
        <v>ST VINCENT                    </v>
      </c>
      <c r="G224" s="9"/>
      <c r="I224" s="9"/>
    </row>
    <row r="225" spans="1:9" ht="12.75">
      <c r="A225" t="str">
        <f>"VEN"</f>
        <v>VEN</v>
      </c>
      <c r="B225" t="str">
        <f>"VENEZUELA                     "</f>
        <v>VENEZUELA                     </v>
      </c>
      <c r="G225" s="9"/>
      <c r="I225" s="9"/>
    </row>
    <row r="226" spans="1:9" ht="12.75">
      <c r="A226" t="str">
        <f>"VIR"</f>
        <v>VIR</v>
      </c>
      <c r="B226" t="str">
        <f>"VIRGIN ISLAND                 "</f>
        <v>VIRGIN ISLAND                 </v>
      </c>
      <c r="G226" s="9"/>
      <c r="I226" s="9"/>
    </row>
    <row r="227" spans="1:9" ht="12.75">
      <c r="A227" t="str">
        <f>"VNM"</f>
        <v>VNM</v>
      </c>
      <c r="B227" t="str">
        <f>"VIETNAM                       "</f>
        <v>VIETNAM                       </v>
      </c>
      <c r="G227" s="9"/>
      <c r="I227" s="9"/>
    </row>
    <row r="228" spans="1:9" ht="12.75">
      <c r="A228" t="str">
        <f>"VUT"</f>
        <v>VUT</v>
      </c>
      <c r="B228" t="str">
        <f>"VANUATU                       "</f>
        <v>VANUATU                       </v>
      </c>
      <c r="G228" s="9"/>
      <c r="I228" s="9"/>
    </row>
    <row r="229" spans="1:9" ht="12.75">
      <c r="A229" t="str">
        <f>"WLF"</f>
        <v>WLF</v>
      </c>
      <c r="B229" t="str">
        <f>"WALLIS  FUTUNA ISL            "</f>
        <v>WALLIS  FUTUNA ISL            </v>
      </c>
      <c r="G229" s="9"/>
      <c r="I229" s="9"/>
    </row>
    <row r="230" spans="1:9" ht="12.75">
      <c r="A230" t="str">
        <f>"WSM"</f>
        <v>WSM</v>
      </c>
      <c r="B230" t="str">
        <f>"WESTERN SAMOA                 "</f>
        <v>WESTERN SAMOA                 </v>
      </c>
      <c r="G230" s="9"/>
      <c r="I230" s="9"/>
    </row>
    <row r="231" spans="1:9" ht="12.75">
      <c r="A231" t="str">
        <f>"XXX"</f>
        <v>XXX</v>
      </c>
      <c r="B231" t="str">
        <f>"UNCLEAR COUNTRY (BG)          "</f>
        <v>UNCLEAR COUNTRY (BG)          </v>
      </c>
      <c r="G231" s="9"/>
      <c r="I231" s="9"/>
    </row>
    <row r="232" spans="1:2" ht="12.75">
      <c r="A232" t="str">
        <f>"YEM"</f>
        <v>YEM</v>
      </c>
      <c r="B232" t="str">
        <f>"YEMEN                         "</f>
        <v>YEMEN                         </v>
      </c>
    </row>
    <row r="233" spans="1:2" ht="12.75">
      <c r="A233" t="str">
        <f>"YUG"</f>
        <v>YUG</v>
      </c>
      <c r="B233" t="str">
        <f>"YUGOSLAVIA                    "</f>
        <v>YUGOSLAVIA                    </v>
      </c>
    </row>
    <row r="234" spans="1:2" ht="12.75">
      <c r="A234" t="str">
        <f>"ZAF"</f>
        <v>ZAF</v>
      </c>
      <c r="B234" t="str">
        <f>"S AFRICA                      "</f>
        <v>S AFRICA                      </v>
      </c>
    </row>
    <row r="235" spans="1:2" ht="12.75">
      <c r="A235" t="str">
        <f>"ZIM"</f>
        <v>ZIM</v>
      </c>
      <c r="B235" t="str">
        <f>"ZIMBABWE                      "</f>
        <v>ZIMBABWE                      </v>
      </c>
    </row>
    <row r="236" spans="1:2" ht="12.75">
      <c r="A236" t="str">
        <f>"ZMB"</f>
        <v>ZMB</v>
      </c>
      <c r="B236" t="str">
        <f>"ZAMBIA                        "</f>
        <v>ZAMBIA                        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 Tourkenich</dc:creator>
  <cp:keywords/>
  <dc:description/>
  <cp:lastModifiedBy>IITOA</cp:lastModifiedBy>
  <cp:lastPrinted>2007-10-20T19:37:56Z</cp:lastPrinted>
  <dcterms:created xsi:type="dcterms:W3CDTF">1996-10-14T23:33:28Z</dcterms:created>
  <dcterms:modified xsi:type="dcterms:W3CDTF">2021-05-25T06:30:04Z</dcterms:modified>
  <cp:category/>
  <cp:version/>
  <cp:contentType/>
  <cp:contentStatus/>
</cp:coreProperties>
</file>