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2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3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4.xml" ContentType="application/vnd.openxmlformats-officedocument.drawing+xml"/>
  <Override PartName="/xl/charts/chart5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0" windowHeight="0" firstSheet="11" activeTab="11" xr2:uid="{00000000-000D-0000-FFFF-FFFF00000000}"/>
  </bookViews>
  <sheets>
    <sheet name="נתוני למ&quot;ס גלמיים" sheetId="21" r:id="rId1"/>
    <sheet name="Jan" sheetId="1" r:id="rId2"/>
    <sheet name="Feb" sheetId="2" r:id="rId3"/>
    <sheet name="Mar" sheetId="3" r:id="rId4"/>
    <sheet name="Apr" sheetId="4" r:id="rId5"/>
    <sheet name="May" sheetId="5" r:id="rId6"/>
    <sheet name="Jun" sheetId="6" r:id="rId7"/>
    <sheet name="Jul" sheetId="7" r:id="rId8"/>
    <sheet name="Aug" sheetId="8" r:id="rId9"/>
    <sheet name="Sep" sheetId="9" r:id="rId10"/>
    <sheet name="Oct" sheetId="10" r:id="rId11"/>
    <sheet name="Nov" sheetId="11" r:id="rId12"/>
    <sheet name="Dec" sheetId="12" r:id="rId13"/>
    <sheet name="topten" sheetId="19" r:id="rId14"/>
    <sheet name="תוצאות" sheetId="13" r:id="rId15"/>
    <sheet name="חיתוך" sheetId="15" r:id="rId16"/>
    <sheet name="קריטריונים" sheetId="14" r:id="rId17"/>
    <sheet name="top 10 2017" sheetId="20" r:id="rId18"/>
    <sheet name="הכנסות לפי מדינות" sheetId="22" r:id="rId19"/>
    <sheet name="גרפים הכנסות" sheetId="24" r:id="rId20"/>
    <sheet name="גיליון2" sheetId="23" r:id="rId21"/>
  </sheets>
  <definedNames>
    <definedName name="_xlnm.Print_Area" localSheetId="1">Jan!$A$1:$F$96</definedName>
  </definedNames>
  <calcPr calcId="171027"/>
</workbook>
</file>

<file path=xl/calcChain.xml><?xml version="1.0" encoding="utf-8"?>
<calcChain xmlns="http://schemas.openxmlformats.org/spreadsheetml/2006/main">
  <c r="B91" i="11" l="1"/>
  <c r="B83" i="11"/>
  <c r="B79" i="11" s="1"/>
  <c r="B53" i="11"/>
  <c r="B77" i="11"/>
  <c r="B36" i="11"/>
  <c r="B35" i="11" s="1"/>
  <c r="B5" i="11" s="1"/>
  <c r="B27" i="11"/>
  <c r="B21" i="11"/>
  <c r="B13" i="11"/>
  <c r="B8" i="11" s="1"/>
  <c r="B6" i="11" s="1"/>
  <c r="B91" i="10" l="1"/>
  <c r="B83" i="10"/>
  <c r="B79" i="10"/>
  <c r="B35" i="10"/>
  <c r="B53" i="10"/>
  <c r="B36" i="10"/>
  <c r="B27" i="10"/>
  <c r="B21" i="10"/>
  <c r="B13" i="10"/>
  <c r="B8" i="10" s="1"/>
  <c r="B6" i="10" l="1"/>
  <c r="B5" i="10" s="1"/>
  <c r="B8" i="9"/>
  <c r="B6" i="9" s="1"/>
  <c r="B96" i="9"/>
  <c r="B91" i="9"/>
  <c r="B83" i="9"/>
  <c r="B79" i="9" s="1"/>
  <c r="B53" i="9"/>
  <c r="B36" i="9"/>
  <c r="B35" i="9" s="1"/>
  <c r="B5" i="9" s="1"/>
  <c r="B27" i="9"/>
  <c r="B21" i="9"/>
  <c r="B13" i="9"/>
  <c r="B53" i="8" l="1"/>
  <c r="B91" i="8"/>
  <c r="B83" i="8"/>
  <c r="B79" i="8" s="1"/>
  <c r="B35" i="8"/>
  <c r="B36" i="8"/>
  <c r="B27" i="8"/>
  <c r="B21" i="8"/>
  <c r="B13" i="8"/>
  <c r="B8" i="8" s="1"/>
  <c r="B6" i="8" s="1"/>
  <c r="B5" i="8" l="1"/>
  <c r="B91" i="7"/>
  <c r="B83" i="7"/>
  <c r="B79" i="7" s="1"/>
  <c r="B53" i="7"/>
  <c r="B36" i="7"/>
  <c r="B35" i="7" s="1"/>
  <c r="B27" i="7"/>
  <c r="B21" i="7"/>
  <c r="B8" i="7"/>
  <c r="B6" i="7" l="1"/>
  <c r="B5" i="7" s="1"/>
  <c r="F1" i="20"/>
  <c r="B53" i="6" l="1"/>
  <c r="B91" i="6" l="1"/>
  <c r="B83" i="6"/>
  <c r="B79" i="6" s="1"/>
  <c r="B36" i="6"/>
  <c r="B35" i="6" s="1"/>
  <c r="B27" i="6"/>
  <c r="B21" i="6"/>
  <c r="B8" i="6"/>
  <c r="B6" i="6" l="1"/>
  <c r="B5" i="6" s="1"/>
  <c r="U15" i="20"/>
  <c r="Q14" i="20"/>
  <c r="U38" i="20" l="1"/>
  <c r="H38" i="20"/>
  <c r="G38" i="20" s="1"/>
  <c r="I3" i="20"/>
  <c r="I4" i="20" l="1"/>
  <c r="B91" i="5"/>
  <c r="B83" i="5"/>
  <c r="B79" i="5" s="1"/>
  <c r="B53" i="5"/>
  <c r="B36" i="5"/>
  <c r="B35" i="5" s="1"/>
  <c r="B27" i="5"/>
  <c r="B8" i="5"/>
  <c r="B21" i="5"/>
  <c r="B6" i="5" l="1"/>
  <c r="I5" i="20"/>
  <c r="B5" i="5"/>
  <c r="AT19" i="19"/>
  <c r="AT25" i="19"/>
  <c r="AT33" i="19"/>
  <c r="AT51" i="19"/>
  <c r="AT60" i="19"/>
  <c r="AT65" i="19"/>
  <c r="AT77" i="19"/>
  <c r="AT89" i="19"/>
  <c r="AT94" i="19"/>
  <c r="I6" i="20" l="1"/>
  <c r="AS19" i="19"/>
  <c r="AS25" i="19"/>
  <c r="AS33" i="19"/>
  <c r="AS51" i="19"/>
  <c r="AS60" i="19"/>
  <c r="AS65" i="19"/>
  <c r="AS77" i="19"/>
  <c r="AS89" i="19"/>
  <c r="AS94" i="19"/>
  <c r="AR19" i="19"/>
  <c r="AR25" i="19"/>
  <c r="AR33" i="19"/>
  <c r="AR89" i="19"/>
  <c r="AR94" i="19"/>
  <c r="AR51" i="19"/>
  <c r="AR60" i="19"/>
  <c r="AR65" i="19"/>
  <c r="AR77" i="19"/>
  <c r="I7" i="20" l="1"/>
  <c r="I6" i="2"/>
  <c r="I6" i="3" s="1"/>
  <c r="I6" i="4" s="1"/>
  <c r="I6" i="5" s="1"/>
  <c r="I7" i="2"/>
  <c r="I7" i="3" s="1"/>
  <c r="I7" i="4" s="1"/>
  <c r="I7" i="5" s="1"/>
  <c r="I8" i="2"/>
  <c r="I8" i="3" s="1"/>
  <c r="I8" i="4" s="1"/>
  <c r="I8" i="5" s="1"/>
  <c r="I9" i="2"/>
  <c r="I9" i="3" s="1"/>
  <c r="I9" i="4" s="1"/>
  <c r="I9" i="5" s="1"/>
  <c r="I10" i="2"/>
  <c r="I10" i="3" s="1"/>
  <c r="I10" i="4" s="1"/>
  <c r="I10" i="5" s="1"/>
  <c r="I11" i="2"/>
  <c r="I11" i="3" s="1"/>
  <c r="I11" i="4" s="1"/>
  <c r="I11" i="5" s="1"/>
  <c r="I12" i="2"/>
  <c r="I12" i="3" s="1"/>
  <c r="I12" i="4" s="1"/>
  <c r="I12" i="5" s="1"/>
  <c r="I13" i="2"/>
  <c r="I13" i="3" s="1"/>
  <c r="I13" i="4" s="1"/>
  <c r="I13" i="5" s="1"/>
  <c r="I14" i="2"/>
  <c r="I14" i="3" s="1"/>
  <c r="I14" i="4" s="1"/>
  <c r="I14" i="5" s="1"/>
  <c r="I15" i="2"/>
  <c r="I15" i="3" s="1"/>
  <c r="I15" i="4" s="1"/>
  <c r="I15" i="5" s="1"/>
  <c r="I16" i="2"/>
  <c r="I16" i="3" s="1"/>
  <c r="I16" i="4" s="1"/>
  <c r="I16" i="5" s="1"/>
  <c r="I17" i="2"/>
  <c r="I17" i="3" s="1"/>
  <c r="I17" i="4" s="1"/>
  <c r="I17" i="5" s="1"/>
  <c r="I18" i="2"/>
  <c r="I18" i="3" s="1"/>
  <c r="I18" i="4" s="1"/>
  <c r="I18" i="5" s="1"/>
  <c r="I19" i="2"/>
  <c r="I19" i="3" s="1"/>
  <c r="I19" i="4" s="1"/>
  <c r="I19" i="5" s="1"/>
  <c r="I20" i="2"/>
  <c r="I20" i="3" s="1"/>
  <c r="I20" i="4" s="1"/>
  <c r="I20" i="5" s="1"/>
  <c r="I21" i="2"/>
  <c r="I21" i="3" s="1"/>
  <c r="I21" i="4" s="1"/>
  <c r="I21" i="5" s="1"/>
  <c r="I22" i="2"/>
  <c r="I22" i="3" s="1"/>
  <c r="I22" i="4" s="1"/>
  <c r="I22" i="5" s="1"/>
  <c r="I23" i="2"/>
  <c r="I23" i="3" s="1"/>
  <c r="I23" i="4" s="1"/>
  <c r="I23" i="5" s="1"/>
  <c r="I24" i="2"/>
  <c r="I24" i="3" s="1"/>
  <c r="I24" i="4" s="1"/>
  <c r="I24" i="5" s="1"/>
  <c r="I25" i="2"/>
  <c r="I25" i="3" s="1"/>
  <c r="I25" i="4" s="1"/>
  <c r="I25" i="5" s="1"/>
  <c r="I26" i="2"/>
  <c r="I26" i="3" s="1"/>
  <c r="I26" i="4" s="1"/>
  <c r="I26" i="5" s="1"/>
  <c r="I27" i="2"/>
  <c r="I27" i="3" s="1"/>
  <c r="I27" i="4" s="1"/>
  <c r="I27" i="5" s="1"/>
  <c r="I28" i="2"/>
  <c r="I28" i="3" s="1"/>
  <c r="I28" i="4" s="1"/>
  <c r="I28" i="5" s="1"/>
  <c r="I29" i="2"/>
  <c r="I29" i="3" s="1"/>
  <c r="I29" i="4" s="1"/>
  <c r="I29" i="5" s="1"/>
  <c r="I30" i="2"/>
  <c r="I30" i="3" s="1"/>
  <c r="I30" i="4" s="1"/>
  <c r="I30" i="5" s="1"/>
  <c r="I31" i="2"/>
  <c r="I31" i="3" s="1"/>
  <c r="I31" i="4" s="1"/>
  <c r="I31" i="5" s="1"/>
  <c r="I32" i="2"/>
  <c r="I32" i="3" s="1"/>
  <c r="I32" i="4" s="1"/>
  <c r="I32" i="5" s="1"/>
  <c r="I33" i="2"/>
  <c r="I33" i="3" s="1"/>
  <c r="I33" i="4" s="1"/>
  <c r="I33" i="5" s="1"/>
  <c r="I34" i="2"/>
  <c r="I34" i="3" s="1"/>
  <c r="I34" i="4" s="1"/>
  <c r="I34" i="5" s="1"/>
  <c r="I35" i="2"/>
  <c r="I35" i="3" s="1"/>
  <c r="I35" i="4" s="1"/>
  <c r="I35" i="5" s="1"/>
  <c r="I36" i="2"/>
  <c r="I36" i="3" s="1"/>
  <c r="I36" i="4" s="1"/>
  <c r="I36" i="5" s="1"/>
  <c r="I37" i="2"/>
  <c r="I37" i="3" s="1"/>
  <c r="I37" i="4" s="1"/>
  <c r="I37" i="5" s="1"/>
  <c r="I38" i="2"/>
  <c r="I38" i="3" s="1"/>
  <c r="I38" i="4" s="1"/>
  <c r="I38" i="5" s="1"/>
  <c r="I39" i="2"/>
  <c r="I39" i="3" s="1"/>
  <c r="I39" i="4" s="1"/>
  <c r="I39" i="5" s="1"/>
  <c r="I40" i="2"/>
  <c r="I40" i="3" s="1"/>
  <c r="I40" i="4" s="1"/>
  <c r="I40" i="5" s="1"/>
  <c r="I41" i="2"/>
  <c r="I41" i="3" s="1"/>
  <c r="I41" i="4" s="1"/>
  <c r="I41" i="5" s="1"/>
  <c r="I42" i="2"/>
  <c r="I42" i="3" s="1"/>
  <c r="I42" i="4" s="1"/>
  <c r="I42" i="5" s="1"/>
  <c r="I43" i="2"/>
  <c r="I43" i="3" s="1"/>
  <c r="I43" i="4" s="1"/>
  <c r="I43" i="5" s="1"/>
  <c r="I44" i="2"/>
  <c r="I44" i="3" s="1"/>
  <c r="I44" i="4" s="1"/>
  <c r="I44" i="5" s="1"/>
  <c r="I45" i="2"/>
  <c r="I45" i="3" s="1"/>
  <c r="I45" i="4" s="1"/>
  <c r="I45" i="5" s="1"/>
  <c r="I46" i="2"/>
  <c r="I46" i="3" s="1"/>
  <c r="I46" i="4" s="1"/>
  <c r="I46" i="5" s="1"/>
  <c r="I47" i="2"/>
  <c r="I47" i="3" s="1"/>
  <c r="I47" i="4" s="1"/>
  <c r="I47" i="5" s="1"/>
  <c r="I48" i="2"/>
  <c r="I48" i="3" s="1"/>
  <c r="I48" i="4" s="1"/>
  <c r="I48" i="5" s="1"/>
  <c r="I49" i="2"/>
  <c r="I49" i="3" s="1"/>
  <c r="I49" i="4" s="1"/>
  <c r="I49" i="5" s="1"/>
  <c r="I50" i="2"/>
  <c r="I50" i="3" s="1"/>
  <c r="I50" i="4" s="1"/>
  <c r="I50" i="5" s="1"/>
  <c r="I51" i="2"/>
  <c r="I51" i="3" s="1"/>
  <c r="I51" i="4" s="1"/>
  <c r="I51" i="5" s="1"/>
  <c r="I52" i="2"/>
  <c r="I52" i="3" s="1"/>
  <c r="I52" i="4" s="1"/>
  <c r="I52" i="5" s="1"/>
  <c r="I53" i="2"/>
  <c r="I53" i="3" s="1"/>
  <c r="I53" i="4" s="1"/>
  <c r="I53" i="5" s="1"/>
  <c r="I54" i="2"/>
  <c r="I54" i="3" s="1"/>
  <c r="I54" i="4" s="1"/>
  <c r="I54" i="5" s="1"/>
  <c r="I55" i="2"/>
  <c r="I55" i="3" s="1"/>
  <c r="I55" i="4" s="1"/>
  <c r="I55" i="5" s="1"/>
  <c r="I56" i="2"/>
  <c r="I56" i="3" s="1"/>
  <c r="I56" i="4" s="1"/>
  <c r="I56" i="5" s="1"/>
  <c r="I57" i="2"/>
  <c r="I57" i="3" s="1"/>
  <c r="I57" i="4" s="1"/>
  <c r="I57" i="5" s="1"/>
  <c r="I58" i="2"/>
  <c r="I58" i="3" s="1"/>
  <c r="I58" i="4" s="1"/>
  <c r="I58" i="5" s="1"/>
  <c r="I59" i="2"/>
  <c r="I59" i="3" s="1"/>
  <c r="I59" i="4" s="1"/>
  <c r="I59" i="5" s="1"/>
  <c r="I60" i="2"/>
  <c r="I60" i="3" s="1"/>
  <c r="I60" i="4" s="1"/>
  <c r="I60" i="5" s="1"/>
  <c r="I61" i="2"/>
  <c r="I61" i="3" s="1"/>
  <c r="I61" i="4" s="1"/>
  <c r="I61" i="5" s="1"/>
  <c r="I62" i="2"/>
  <c r="I62" i="3" s="1"/>
  <c r="I62" i="4" s="1"/>
  <c r="I62" i="5" s="1"/>
  <c r="I63" i="2"/>
  <c r="I63" i="3" s="1"/>
  <c r="I63" i="4" s="1"/>
  <c r="I63" i="5" s="1"/>
  <c r="I64" i="2"/>
  <c r="I64" i="3" s="1"/>
  <c r="I64" i="4" s="1"/>
  <c r="I64" i="5" s="1"/>
  <c r="I65" i="2"/>
  <c r="I65" i="3" s="1"/>
  <c r="I65" i="4" s="1"/>
  <c r="I65" i="5" s="1"/>
  <c r="I66" i="2"/>
  <c r="I66" i="3" s="1"/>
  <c r="I66" i="4" s="1"/>
  <c r="I66" i="5" s="1"/>
  <c r="I67" i="2"/>
  <c r="I67" i="3" s="1"/>
  <c r="I67" i="4" s="1"/>
  <c r="I67" i="5" s="1"/>
  <c r="I68" i="2"/>
  <c r="I68" i="3" s="1"/>
  <c r="I68" i="4" s="1"/>
  <c r="I68" i="5" s="1"/>
  <c r="I69" i="2"/>
  <c r="I69" i="3" s="1"/>
  <c r="I69" i="4" s="1"/>
  <c r="I69" i="5" s="1"/>
  <c r="I70" i="2"/>
  <c r="I70" i="3" s="1"/>
  <c r="I70" i="4" s="1"/>
  <c r="I70" i="5" s="1"/>
  <c r="I71" i="2"/>
  <c r="I71" i="3" s="1"/>
  <c r="I71" i="4" s="1"/>
  <c r="I71" i="5" s="1"/>
  <c r="I72" i="2"/>
  <c r="I72" i="3" s="1"/>
  <c r="I72" i="4" s="1"/>
  <c r="I72" i="5" s="1"/>
  <c r="I73" i="2"/>
  <c r="I73" i="3" s="1"/>
  <c r="I73" i="4" s="1"/>
  <c r="I73" i="5" s="1"/>
  <c r="I74" i="2"/>
  <c r="I74" i="3" s="1"/>
  <c r="I74" i="4" s="1"/>
  <c r="I74" i="5" s="1"/>
  <c r="I75" i="2"/>
  <c r="I75" i="3" s="1"/>
  <c r="I75" i="4" s="1"/>
  <c r="I75" i="5" s="1"/>
  <c r="I76" i="2"/>
  <c r="I76" i="3" s="1"/>
  <c r="I76" i="4" s="1"/>
  <c r="I76" i="5" s="1"/>
  <c r="I77" i="2"/>
  <c r="I77" i="3" s="1"/>
  <c r="I77" i="4" s="1"/>
  <c r="I77" i="5" s="1"/>
  <c r="I78" i="2"/>
  <c r="I78" i="3" s="1"/>
  <c r="I78" i="4" s="1"/>
  <c r="I78" i="5" s="1"/>
  <c r="I79" i="2"/>
  <c r="I79" i="3" s="1"/>
  <c r="I79" i="4" s="1"/>
  <c r="I79" i="5" s="1"/>
  <c r="I80" i="2"/>
  <c r="I80" i="3" s="1"/>
  <c r="I80" i="4" s="1"/>
  <c r="I80" i="5" s="1"/>
  <c r="I81" i="2"/>
  <c r="I81" i="3" s="1"/>
  <c r="I81" i="4" s="1"/>
  <c r="I81" i="5" s="1"/>
  <c r="I82" i="2"/>
  <c r="I82" i="3" s="1"/>
  <c r="I82" i="4" s="1"/>
  <c r="I82" i="5" s="1"/>
  <c r="I83" i="2"/>
  <c r="I83" i="3" s="1"/>
  <c r="I83" i="4" s="1"/>
  <c r="I83" i="5" s="1"/>
  <c r="I84" i="2"/>
  <c r="I84" i="3" s="1"/>
  <c r="I84" i="4" s="1"/>
  <c r="I84" i="5" s="1"/>
  <c r="I85" i="2"/>
  <c r="I85" i="3" s="1"/>
  <c r="I85" i="4" s="1"/>
  <c r="I85" i="5" s="1"/>
  <c r="I86" i="2"/>
  <c r="I86" i="3" s="1"/>
  <c r="I86" i="4" s="1"/>
  <c r="I86" i="5" s="1"/>
  <c r="I87" i="2"/>
  <c r="I87" i="3" s="1"/>
  <c r="I87" i="4" s="1"/>
  <c r="I87" i="5" s="1"/>
  <c r="I88" i="2"/>
  <c r="I88" i="3" s="1"/>
  <c r="I88" i="4" s="1"/>
  <c r="I88" i="5" s="1"/>
  <c r="I89" i="2"/>
  <c r="I89" i="3" s="1"/>
  <c r="I89" i="4" s="1"/>
  <c r="I89" i="5" s="1"/>
  <c r="I90" i="2"/>
  <c r="I90" i="3" s="1"/>
  <c r="I90" i="4" s="1"/>
  <c r="I90" i="5" s="1"/>
  <c r="I91" i="2"/>
  <c r="I91" i="3" s="1"/>
  <c r="I91" i="4" s="1"/>
  <c r="I91" i="5" s="1"/>
  <c r="I92" i="2"/>
  <c r="I92" i="3" s="1"/>
  <c r="I92" i="4" s="1"/>
  <c r="I92" i="5" s="1"/>
  <c r="I93" i="2"/>
  <c r="I93" i="3" s="1"/>
  <c r="I93" i="4" s="1"/>
  <c r="I93" i="5" s="1"/>
  <c r="I94" i="2"/>
  <c r="I94" i="3" s="1"/>
  <c r="I94" i="4" s="1"/>
  <c r="I94" i="5" s="1"/>
  <c r="I95" i="2"/>
  <c r="I95" i="3" s="1"/>
  <c r="I95" i="4" s="1"/>
  <c r="I95" i="5" s="1"/>
  <c r="I96" i="2"/>
  <c r="I96" i="3" s="1"/>
  <c r="I96" i="4" s="1"/>
  <c r="I96" i="5" s="1"/>
  <c r="I5" i="2"/>
  <c r="I5" i="3" s="1"/>
  <c r="I5" i="4" s="1"/>
  <c r="I5" i="5" s="1"/>
  <c r="I8" i="20" l="1"/>
  <c r="C4" i="24"/>
  <c r="I9" i="20" l="1"/>
  <c r="A4" i="24"/>
  <c r="B4" i="24"/>
  <c r="I10" i="20" l="1"/>
  <c r="N7" i="22"/>
  <c r="N8" i="22"/>
  <c r="N9" i="22"/>
  <c r="N10" i="22"/>
  <c r="N11" i="22"/>
  <c r="N12" i="22"/>
  <c r="N13" i="22"/>
  <c r="N14" i="22"/>
  <c r="N15" i="22"/>
  <c r="N16" i="22"/>
  <c r="N19" i="22"/>
  <c r="N20" i="22"/>
  <c r="N21" i="22"/>
  <c r="N22" i="22"/>
  <c r="N25" i="22"/>
  <c r="N26" i="22"/>
  <c r="N27" i="22"/>
  <c r="N28" i="22"/>
  <c r="N29" i="22"/>
  <c r="N30" i="22"/>
  <c r="N34" i="22"/>
  <c r="N35" i="22"/>
  <c r="N36" i="22"/>
  <c r="N37" i="22"/>
  <c r="N38" i="22"/>
  <c r="N39" i="22"/>
  <c r="N40" i="22"/>
  <c r="N41" i="22"/>
  <c r="N42" i="22"/>
  <c r="N43" i="22"/>
  <c r="N44" i="22"/>
  <c r="N45" i="22"/>
  <c r="N46" i="22"/>
  <c r="N47" i="22"/>
  <c r="N48" i="22"/>
  <c r="N51" i="22"/>
  <c r="N52" i="22"/>
  <c r="N53" i="22"/>
  <c r="N54" i="22"/>
  <c r="N55" i="22"/>
  <c r="N56" i="22"/>
  <c r="N57" i="22"/>
  <c r="N59" i="22"/>
  <c r="N60" i="22"/>
  <c r="N61" i="22"/>
  <c r="N62" i="22"/>
  <c r="N64" i="22"/>
  <c r="N65" i="22"/>
  <c r="N66" i="22"/>
  <c r="N67" i="22"/>
  <c r="N68" i="22"/>
  <c r="N69" i="22"/>
  <c r="N70" i="22"/>
  <c r="N71" i="22"/>
  <c r="N72" i="22"/>
  <c r="N73" i="22"/>
  <c r="N74" i="22"/>
  <c r="N77" i="22"/>
  <c r="N78" i="22"/>
  <c r="N79" i="22"/>
  <c r="N81" i="22"/>
  <c r="N82" i="22"/>
  <c r="N83" i="22"/>
  <c r="N84" i="22"/>
  <c r="N85" i="22"/>
  <c r="N86" i="22"/>
  <c r="N89" i="22"/>
  <c r="N90" i="22"/>
  <c r="N91" i="22"/>
  <c r="N93" i="22"/>
  <c r="M7" i="22"/>
  <c r="M8" i="22"/>
  <c r="M9" i="22"/>
  <c r="M10" i="22"/>
  <c r="M11" i="22"/>
  <c r="M12" i="22"/>
  <c r="M13" i="22"/>
  <c r="M14" i="22"/>
  <c r="M15" i="22"/>
  <c r="M16" i="22"/>
  <c r="M19" i="22"/>
  <c r="M20" i="22"/>
  <c r="M21" i="22"/>
  <c r="M22" i="22"/>
  <c r="M25" i="22"/>
  <c r="M26" i="22"/>
  <c r="M27" i="22"/>
  <c r="M28" i="22"/>
  <c r="M29" i="22"/>
  <c r="M30" i="22"/>
  <c r="M34" i="22"/>
  <c r="M35" i="22"/>
  <c r="M36" i="22"/>
  <c r="M37" i="22"/>
  <c r="M38" i="22"/>
  <c r="M39" i="22"/>
  <c r="M40" i="22"/>
  <c r="M41" i="22"/>
  <c r="M42" i="22"/>
  <c r="M43" i="22"/>
  <c r="M44" i="22"/>
  <c r="M45" i="22"/>
  <c r="M46" i="22"/>
  <c r="M47" i="22"/>
  <c r="M48" i="22"/>
  <c r="M51" i="22"/>
  <c r="M52" i="22"/>
  <c r="M53" i="22"/>
  <c r="M54" i="22"/>
  <c r="M55" i="22"/>
  <c r="M56" i="22"/>
  <c r="M57" i="22"/>
  <c r="M59" i="22"/>
  <c r="M60" i="22"/>
  <c r="M61" i="22"/>
  <c r="M62" i="22"/>
  <c r="M64" i="22"/>
  <c r="M65" i="22"/>
  <c r="M66" i="22"/>
  <c r="M67" i="22"/>
  <c r="M68" i="22"/>
  <c r="M69" i="22"/>
  <c r="M70" i="22"/>
  <c r="M71" i="22"/>
  <c r="M72" i="22"/>
  <c r="M73" i="22"/>
  <c r="M74" i="22"/>
  <c r="M77" i="22"/>
  <c r="M78" i="22"/>
  <c r="M79" i="22"/>
  <c r="M81" i="22"/>
  <c r="M82" i="22"/>
  <c r="M83" i="22"/>
  <c r="M84" i="22"/>
  <c r="M85" i="22"/>
  <c r="M86" i="22"/>
  <c r="M89" i="22"/>
  <c r="M90" i="22"/>
  <c r="M91" i="22"/>
  <c r="M93" i="22"/>
  <c r="L7" i="22"/>
  <c r="L8" i="22"/>
  <c r="L9" i="22"/>
  <c r="L10" i="22"/>
  <c r="L11" i="22"/>
  <c r="L12" i="22"/>
  <c r="L13" i="22"/>
  <c r="L14" i="22"/>
  <c r="L15" i="22"/>
  <c r="L16" i="22"/>
  <c r="L19" i="22"/>
  <c r="L20" i="22"/>
  <c r="L21" i="22"/>
  <c r="L22" i="22"/>
  <c r="L25" i="22"/>
  <c r="L26" i="22"/>
  <c r="L27" i="22"/>
  <c r="L28" i="22"/>
  <c r="L29" i="22"/>
  <c r="L30" i="22"/>
  <c r="L34" i="22"/>
  <c r="L35" i="22"/>
  <c r="L36" i="22"/>
  <c r="L37" i="22"/>
  <c r="L38" i="22"/>
  <c r="L39" i="22"/>
  <c r="L40" i="22"/>
  <c r="L41" i="22"/>
  <c r="L42" i="22"/>
  <c r="L43" i="22"/>
  <c r="L44" i="22"/>
  <c r="L45" i="22"/>
  <c r="L46" i="22"/>
  <c r="L47" i="22"/>
  <c r="L48" i="22"/>
  <c r="L51" i="22"/>
  <c r="L52" i="22"/>
  <c r="L53" i="22"/>
  <c r="L54" i="22"/>
  <c r="L55" i="22"/>
  <c r="L56" i="22"/>
  <c r="L57" i="22"/>
  <c r="L59" i="22"/>
  <c r="L60" i="22"/>
  <c r="L61" i="22"/>
  <c r="L62" i="22"/>
  <c r="L64" i="22"/>
  <c r="L65" i="22"/>
  <c r="L66" i="22"/>
  <c r="L67" i="22"/>
  <c r="L68" i="22"/>
  <c r="L69" i="22"/>
  <c r="L70" i="22"/>
  <c r="L71" i="22"/>
  <c r="L72" i="22"/>
  <c r="L73" i="22"/>
  <c r="L74" i="22"/>
  <c r="L77" i="22"/>
  <c r="L78" i="22"/>
  <c r="L79" i="22"/>
  <c r="L81" i="22"/>
  <c r="L82" i="22"/>
  <c r="L83" i="22"/>
  <c r="L84" i="22"/>
  <c r="L85" i="22"/>
  <c r="L86" i="22"/>
  <c r="L89" i="22"/>
  <c r="L90" i="22"/>
  <c r="L91" i="22"/>
  <c r="L93" i="22"/>
  <c r="K7" i="22"/>
  <c r="K8" i="22"/>
  <c r="K9" i="22"/>
  <c r="K10" i="22"/>
  <c r="K11" i="22"/>
  <c r="K12" i="22"/>
  <c r="K13" i="22"/>
  <c r="K14" i="22"/>
  <c r="K15" i="22"/>
  <c r="K16" i="22"/>
  <c r="K19" i="22"/>
  <c r="K20" i="22"/>
  <c r="K21" i="22"/>
  <c r="K22" i="22"/>
  <c r="K25" i="22"/>
  <c r="K26" i="22"/>
  <c r="K27" i="22"/>
  <c r="K28" i="22"/>
  <c r="K29" i="22"/>
  <c r="K30" i="22"/>
  <c r="K34" i="22"/>
  <c r="K35" i="22"/>
  <c r="K36" i="22"/>
  <c r="K37" i="22"/>
  <c r="K38" i="22"/>
  <c r="K39" i="22"/>
  <c r="K40" i="22"/>
  <c r="K41" i="22"/>
  <c r="K42" i="22"/>
  <c r="K43" i="22"/>
  <c r="K44" i="22"/>
  <c r="K45" i="22"/>
  <c r="K46" i="22"/>
  <c r="K47" i="22"/>
  <c r="K48" i="22"/>
  <c r="K51" i="22"/>
  <c r="K52" i="22"/>
  <c r="K53" i="22"/>
  <c r="K54" i="22"/>
  <c r="K55" i="22"/>
  <c r="K56" i="22"/>
  <c r="K57" i="22"/>
  <c r="K59" i="22"/>
  <c r="K60" i="22"/>
  <c r="K61" i="22"/>
  <c r="K62" i="22"/>
  <c r="K64" i="22"/>
  <c r="K65" i="22"/>
  <c r="K66" i="22"/>
  <c r="K67" i="22"/>
  <c r="K68" i="22"/>
  <c r="K69" i="22"/>
  <c r="K70" i="22"/>
  <c r="K71" i="22"/>
  <c r="K72" i="22"/>
  <c r="K73" i="22"/>
  <c r="K74" i="22"/>
  <c r="K77" i="22"/>
  <c r="K78" i="22"/>
  <c r="K79" i="22"/>
  <c r="K81" i="22"/>
  <c r="K82" i="22"/>
  <c r="K83" i="22"/>
  <c r="K84" i="22"/>
  <c r="K85" i="22"/>
  <c r="K86" i="22"/>
  <c r="K89" i="22"/>
  <c r="K90" i="22"/>
  <c r="K91" i="22"/>
  <c r="K93" i="22"/>
  <c r="J7" i="22"/>
  <c r="J8" i="22"/>
  <c r="J9" i="22"/>
  <c r="J10" i="22"/>
  <c r="J11" i="22"/>
  <c r="J12" i="22"/>
  <c r="J13" i="22"/>
  <c r="J14" i="22"/>
  <c r="J15" i="22"/>
  <c r="J16" i="22"/>
  <c r="J19" i="22"/>
  <c r="J20" i="22"/>
  <c r="J21" i="22"/>
  <c r="J22" i="22"/>
  <c r="J25" i="22"/>
  <c r="J26" i="22"/>
  <c r="J27" i="22"/>
  <c r="J28" i="22"/>
  <c r="J29" i="22"/>
  <c r="J30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51" i="22"/>
  <c r="J52" i="22"/>
  <c r="J53" i="22"/>
  <c r="J54" i="22"/>
  <c r="J55" i="22"/>
  <c r="J56" i="22"/>
  <c r="J57" i="22"/>
  <c r="J59" i="22"/>
  <c r="J60" i="22"/>
  <c r="J61" i="22"/>
  <c r="J62" i="22"/>
  <c r="J64" i="22"/>
  <c r="J65" i="22"/>
  <c r="J66" i="22"/>
  <c r="J67" i="22"/>
  <c r="J68" i="22"/>
  <c r="J69" i="22"/>
  <c r="J70" i="22"/>
  <c r="J71" i="22"/>
  <c r="J72" i="22"/>
  <c r="J73" i="22"/>
  <c r="J74" i="22"/>
  <c r="J77" i="22"/>
  <c r="J78" i="22"/>
  <c r="J79" i="22"/>
  <c r="J81" i="22"/>
  <c r="J82" i="22"/>
  <c r="J83" i="22"/>
  <c r="J84" i="22"/>
  <c r="J85" i="22"/>
  <c r="J86" i="22"/>
  <c r="J89" i="22"/>
  <c r="J90" i="22"/>
  <c r="J91" i="22"/>
  <c r="J93" i="22"/>
  <c r="N6" i="22"/>
  <c r="M6" i="22"/>
  <c r="L6" i="22"/>
  <c r="K6" i="22"/>
  <c r="J6" i="22"/>
  <c r="I7" i="22"/>
  <c r="I8" i="22"/>
  <c r="I9" i="22"/>
  <c r="I10" i="22"/>
  <c r="I11" i="22"/>
  <c r="I12" i="22"/>
  <c r="I13" i="22"/>
  <c r="I14" i="22"/>
  <c r="I15" i="22"/>
  <c r="I16" i="22"/>
  <c r="I19" i="22"/>
  <c r="I20" i="22"/>
  <c r="I21" i="22"/>
  <c r="I22" i="22"/>
  <c r="I25" i="22"/>
  <c r="I26" i="22"/>
  <c r="I27" i="22"/>
  <c r="I28" i="22"/>
  <c r="I29" i="22"/>
  <c r="I30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51" i="22"/>
  <c r="I52" i="22"/>
  <c r="I53" i="22"/>
  <c r="I54" i="22"/>
  <c r="I55" i="22"/>
  <c r="I56" i="22"/>
  <c r="I57" i="22"/>
  <c r="I59" i="22"/>
  <c r="I60" i="22"/>
  <c r="I61" i="22"/>
  <c r="I62" i="22"/>
  <c r="I64" i="22"/>
  <c r="I65" i="22"/>
  <c r="I66" i="22"/>
  <c r="I67" i="22"/>
  <c r="I68" i="22"/>
  <c r="I69" i="22"/>
  <c r="I70" i="22"/>
  <c r="I71" i="22"/>
  <c r="I72" i="22"/>
  <c r="I73" i="22"/>
  <c r="I74" i="22"/>
  <c r="I77" i="22"/>
  <c r="I78" i="22"/>
  <c r="I79" i="22"/>
  <c r="I81" i="22"/>
  <c r="I82" i="22"/>
  <c r="I83" i="22"/>
  <c r="I84" i="22"/>
  <c r="I85" i="22"/>
  <c r="I86" i="22"/>
  <c r="I89" i="22"/>
  <c r="I90" i="22"/>
  <c r="I91" i="22"/>
  <c r="I93" i="22"/>
  <c r="I6" i="22"/>
  <c r="H93" i="22"/>
  <c r="H7" i="22"/>
  <c r="H8" i="22"/>
  <c r="H9" i="22"/>
  <c r="H10" i="22"/>
  <c r="H11" i="22"/>
  <c r="H12" i="22"/>
  <c r="H13" i="22"/>
  <c r="H14" i="22"/>
  <c r="H15" i="22"/>
  <c r="H16" i="22"/>
  <c r="H19" i="22"/>
  <c r="H20" i="22"/>
  <c r="H21" i="22"/>
  <c r="H22" i="22"/>
  <c r="H25" i="22"/>
  <c r="H26" i="22"/>
  <c r="H27" i="22"/>
  <c r="H28" i="22"/>
  <c r="H29" i="22"/>
  <c r="H30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51" i="22"/>
  <c r="H52" i="22"/>
  <c r="H53" i="22"/>
  <c r="H54" i="22"/>
  <c r="H55" i="22"/>
  <c r="H56" i="22"/>
  <c r="H57" i="22"/>
  <c r="H59" i="22"/>
  <c r="H60" i="22"/>
  <c r="H61" i="22"/>
  <c r="H62" i="22"/>
  <c r="H64" i="22"/>
  <c r="H65" i="22"/>
  <c r="H66" i="22"/>
  <c r="H67" i="22"/>
  <c r="H68" i="22"/>
  <c r="H69" i="22"/>
  <c r="H70" i="22"/>
  <c r="H71" i="22"/>
  <c r="H72" i="22"/>
  <c r="H73" i="22"/>
  <c r="H74" i="22"/>
  <c r="H77" i="22"/>
  <c r="H78" i="22"/>
  <c r="H79" i="22"/>
  <c r="H81" i="22"/>
  <c r="H82" i="22"/>
  <c r="H83" i="22"/>
  <c r="H84" i="22"/>
  <c r="H85" i="22"/>
  <c r="H86" i="22"/>
  <c r="H89" i="22"/>
  <c r="H90" i="22"/>
  <c r="H91" i="22"/>
  <c r="H6" i="22"/>
  <c r="G7" i="22"/>
  <c r="G8" i="22"/>
  <c r="G9" i="22"/>
  <c r="G10" i="22"/>
  <c r="G11" i="22"/>
  <c r="G12" i="22"/>
  <c r="G13" i="22"/>
  <c r="G14" i="22"/>
  <c r="G15" i="22"/>
  <c r="G16" i="22"/>
  <c r="G19" i="22"/>
  <c r="G20" i="22"/>
  <c r="G21" i="22"/>
  <c r="G22" i="22"/>
  <c r="G25" i="22"/>
  <c r="G26" i="22"/>
  <c r="G27" i="22"/>
  <c r="G28" i="22"/>
  <c r="G29" i="22"/>
  <c r="G30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51" i="22"/>
  <c r="G52" i="22"/>
  <c r="G53" i="22"/>
  <c r="G54" i="22"/>
  <c r="G55" i="22"/>
  <c r="G56" i="22"/>
  <c r="G57" i="22"/>
  <c r="G59" i="22"/>
  <c r="G60" i="22"/>
  <c r="G61" i="22"/>
  <c r="G62" i="22"/>
  <c r="G64" i="22"/>
  <c r="G65" i="22"/>
  <c r="G66" i="22"/>
  <c r="G67" i="22"/>
  <c r="G68" i="22"/>
  <c r="G69" i="22"/>
  <c r="G70" i="22"/>
  <c r="G71" i="22"/>
  <c r="G72" i="22"/>
  <c r="G73" i="22"/>
  <c r="G74" i="22"/>
  <c r="G77" i="22"/>
  <c r="G78" i="22"/>
  <c r="G79" i="22"/>
  <c r="G81" i="22"/>
  <c r="G82" i="22"/>
  <c r="G83" i="22"/>
  <c r="G84" i="22"/>
  <c r="G85" i="22"/>
  <c r="G86" i="22"/>
  <c r="G89" i="22"/>
  <c r="G90" i="22"/>
  <c r="G91" i="22"/>
  <c r="G93" i="22"/>
  <c r="G6" i="22"/>
  <c r="F7" i="22"/>
  <c r="F8" i="22"/>
  <c r="F9" i="22"/>
  <c r="F10" i="22"/>
  <c r="F11" i="22"/>
  <c r="F12" i="22"/>
  <c r="F13" i="22"/>
  <c r="F14" i="22"/>
  <c r="F15" i="22"/>
  <c r="F16" i="22"/>
  <c r="F19" i="22"/>
  <c r="F20" i="22"/>
  <c r="F21" i="22"/>
  <c r="F22" i="22"/>
  <c r="F25" i="22"/>
  <c r="F26" i="22"/>
  <c r="F27" i="22"/>
  <c r="F28" i="22"/>
  <c r="F29" i="22"/>
  <c r="F30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51" i="22"/>
  <c r="F52" i="22"/>
  <c r="F53" i="22"/>
  <c r="F54" i="22"/>
  <c r="F55" i="22"/>
  <c r="F56" i="22"/>
  <c r="F57" i="22"/>
  <c r="F59" i="22"/>
  <c r="F60" i="22"/>
  <c r="F61" i="22"/>
  <c r="F62" i="22"/>
  <c r="F64" i="22"/>
  <c r="F65" i="22"/>
  <c r="F66" i="22"/>
  <c r="F67" i="22"/>
  <c r="F68" i="22"/>
  <c r="F69" i="22"/>
  <c r="F70" i="22"/>
  <c r="F71" i="22"/>
  <c r="F72" i="22"/>
  <c r="F73" i="22"/>
  <c r="F74" i="22"/>
  <c r="F77" i="22"/>
  <c r="F78" i="22"/>
  <c r="F79" i="22"/>
  <c r="F81" i="22"/>
  <c r="F82" i="22"/>
  <c r="F83" i="22"/>
  <c r="F84" i="22"/>
  <c r="F85" i="22"/>
  <c r="F86" i="22"/>
  <c r="F89" i="22"/>
  <c r="F90" i="22"/>
  <c r="F91" i="22"/>
  <c r="F93" i="22"/>
  <c r="F6" i="22"/>
  <c r="E7" i="22"/>
  <c r="E8" i="22"/>
  <c r="E9" i="22"/>
  <c r="E10" i="22"/>
  <c r="E11" i="22"/>
  <c r="E12" i="22"/>
  <c r="E13" i="22"/>
  <c r="E14" i="22"/>
  <c r="E15" i="22"/>
  <c r="E16" i="22"/>
  <c r="E19" i="22"/>
  <c r="E20" i="22"/>
  <c r="E21" i="22"/>
  <c r="E22" i="22"/>
  <c r="E25" i="22"/>
  <c r="E26" i="22"/>
  <c r="E27" i="22"/>
  <c r="E28" i="22"/>
  <c r="E29" i="22"/>
  <c r="E30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51" i="22"/>
  <c r="E52" i="22"/>
  <c r="E53" i="22"/>
  <c r="E54" i="22"/>
  <c r="E55" i="22"/>
  <c r="E56" i="22"/>
  <c r="E57" i="22"/>
  <c r="E59" i="22"/>
  <c r="E60" i="22"/>
  <c r="E61" i="22"/>
  <c r="E62" i="22"/>
  <c r="E64" i="22"/>
  <c r="E65" i="22"/>
  <c r="E66" i="22"/>
  <c r="E67" i="22"/>
  <c r="E68" i="22"/>
  <c r="E69" i="22"/>
  <c r="E70" i="22"/>
  <c r="E71" i="22"/>
  <c r="E72" i="22"/>
  <c r="E73" i="22"/>
  <c r="E74" i="22"/>
  <c r="E77" i="22"/>
  <c r="E78" i="22"/>
  <c r="E79" i="22"/>
  <c r="E81" i="22"/>
  <c r="E82" i="22"/>
  <c r="E83" i="22"/>
  <c r="E84" i="22"/>
  <c r="E85" i="22"/>
  <c r="E86" i="22"/>
  <c r="E89" i="22"/>
  <c r="E90" i="22"/>
  <c r="E91" i="22"/>
  <c r="E93" i="22"/>
  <c r="E6" i="22"/>
  <c r="I2" i="22" l="1"/>
  <c r="L2" i="22"/>
  <c r="H2" i="22"/>
  <c r="I11" i="20"/>
  <c r="G2" i="22"/>
  <c r="J2" i="22"/>
  <c r="K2" i="22"/>
  <c r="M2" i="22"/>
  <c r="N2" i="22"/>
  <c r="F2" i="22"/>
  <c r="E2" i="22"/>
  <c r="D3" i="22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9" i="22"/>
  <c r="D20" i="22"/>
  <c r="D21" i="22"/>
  <c r="D22" i="22"/>
  <c r="D25" i="22"/>
  <c r="D26" i="22"/>
  <c r="D27" i="22"/>
  <c r="D28" i="22"/>
  <c r="D29" i="22"/>
  <c r="D30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51" i="22"/>
  <c r="D52" i="22"/>
  <c r="D53" i="22"/>
  <c r="D54" i="22"/>
  <c r="D55" i="22"/>
  <c r="D56" i="22"/>
  <c r="D57" i="22"/>
  <c r="D59" i="22"/>
  <c r="D60" i="22"/>
  <c r="D61" i="22"/>
  <c r="D62" i="22"/>
  <c r="D64" i="22"/>
  <c r="D65" i="22"/>
  <c r="D66" i="22"/>
  <c r="D67" i="22"/>
  <c r="D68" i="22"/>
  <c r="D69" i="22"/>
  <c r="D70" i="22"/>
  <c r="D71" i="22"/>
  <c r="D72" i="22"/>
  <c r="D73" i="22"/>
  <c r="D74" i="22"/>
  <c r="D77" i="22"/>
  <c r="D78" i="22"/>
  <c r="D79" i="22"/>
  <c r="D81" i="22"/>
  <c r="D82" i="22"/>
  <c r="D83" i="22"/>
  <c r="D84" i="22"/>
  <c r="D85" i="22"/>
  <c r="D86" i="22"/>
  <c r="D89" i="22"/>
  <c r="D90" i="22"/>
  <c r="D91" i="22"/>
  <c r="D93" i="22"/>
  <c r="C77" i="22"/>
  <c r="C25" i="22"/>
  <c r="C19" i="22"/>
  <c r="C20" i="22"/>
  <c r="C21" i="22"/>
  <c r="C22" i="22"/>
  <c r="C26" i="22"/>
  <c r="C27" i="22"/>
  <c r="C28" i="22"/>
  <c r="C29" i="22"/>
  <c r="C30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51" i="22"/>
  <c r="C52" i="22"/>
  <c r="C53" i="22"/>
  <c r="C54" i="22"/>
  <c r="C55" i="22"/>
  <c r="C56" i="22"/>
  <c r="C57" i="22"/>
  <c r="C59" i="22"/>
  <c r="C60" i="22"/>
  <c r="C61" i="22"/>
  <c r="C62" i="22"/>
  <c r="C64" i="22"/>
  <c r="C65" i="22"/>
  <c r="C66" i="22"/>
  <c r="C67" i="22"/>
  <c r="C68" i="22"/>
  <c r="C69" i="22"/>
  <c r="C70" i="22"/>
  <c r="C71" i="22"/>
  <c r="C72" i="22"/>
  <c r="C73" i="22"/>
  <c r="C74" i="22"/>
  <c r="C78" i="22"/>
  <c r="C79" i="22"/>
  <c r="C81" i="22"/>
  <c r="C82" i="22"/>
  <c r="C83" i="22"/>
  <c r="C84" i="22"/>
  <c r="C85" i="22"/>
  <c r="C86" i="22"/>
  <c r="C89" i="22"/>
  <c r="C90" i="22"/>
  <c r="C91" i="22"/>
  <c r="C93" i="22"/>
  <c r="C7" i="22"/>
  <c r="C8" i="22"/>
  <c r="C9" i="22"/>
  <c r="C10" i="22"/>
  <c r="C11" i="22"/>
  <c r="C12" i="22"/>
  <c r="C13" i="22"/>
  <c r="C14" i="22"/>
  <c r="C15" i="22"/>
  <c r="C16" i="22"/>
  <c r="C6" i="22"/>
  <c r="A3" i="22"/>
  <c r="A5" i="22"/>
  <c r="A6" i="22"/>
  <c r="A7" i="22"/>
  <c r="A8" i="22"/>
  <c r="A9" i="22"/>
  <c r="A10" i="22"/>
  <c r="A11" i="22"/>
  <c r="A12" i="22"/>
  <c r="A13" i="22"/>
  <c r="A14" i="22"/>
  <c r="A15" i="22"/>
  <c r="A16" i="22"/>
  <c r="A18" i="22"/>
  <c r="A19" i="22"/>
  <c r="A20" i="22"/>
  <c r="A21" i="22"/>
  <c r="A22" i="22"/>
  <c r="A25" i="22"/>
  <c r="A26" i="22"/>
  <c r="A27" i="22"/>
  <c r="A28" i="22"/>
  <c r="A29" i="22"/>
  <c r="A30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50" i="22"/>
  <c r="A51" i="22"/>
  <c r="A52" i="22"/>
  <c r="A53" i="22"/>
  <c r="A54" i="22"/>
  <c r="A55" i="22"/>
  <c r="A56" i="22"/>
  <c r="A57" i="22"/>
  <c r="A59" i="22"/>
  <c r="A60" i="22"/>
  <c r="A61" i="22"/>
  <c r="A62" i="22"/>
  <c r="A64" i="22"/>
  <c r="A65" i="22"/>
  <c r="A66" i="22"/>
  <c r="A67" i="22"/>
  <c r="A68" i="22"/>
  <c r="A69" i="22"/>
  <c r="A70" i="22"/>
  <c r="A71" i="22"/>
  <c r="A72" i="22"/>
  <c r="A73" i="22"/>
  <c r="A74" i="22"/>
  <c r="A77" i="22"/>
  <c r="A78" i="22"/>
  <c r="A79" i="22"/>
  <c r="A81" i="22"/>
  <c r="A82" i="22"/>
  <c r="A83" i="22"/>
  <c r="A84" i="22"/>
  <c r="A85" i="22"/>
  <c r="A86" i="22"/>
  <c r="A89" i="22"/>
  <c r="A90" i="22"/>
  <c r="A91" i="22"/>
  <c r="A93" i="22"/>
  <c r="A2" i="22"/>
  <c r="I12" i="20" l="1"/>
  <c r="D2" i="22"/>
  <c r="C2" i="22"/>
  <c r="I13" i="20" l="1"/>
  <c r="G5" i="2"/>
  <c r="G5" i="3" s="1"/>
  <c r="G5" i="4" s="1"/>
  <c r="G5" i="5" s="1"/>
  <c r="H95" i="12"/>
  <c r="H90" i="12"/>
  <c r="H78" i="12"/>
  <c r="H66" i="12"/>
  <c r="H61" i="12"/>
  <c r="H52" i="12"/>
  <c r="H34" i="12"/>
  <c r="H26" i="12"/>
  <c r="H20" i="12"/>
  <c r="H7" i="12"/>
  <c r="H26" i="3"/>
  <c r="H96" i="2"/>
  <c r="H94" i="2"/>
  <c r="H93" i="2"/>
  <c r="H92" i="2"/>
  <c r="H89" i="2"/>
  <c r="H88" i="2"/>
  <c r="H87" i="2"/>
  <c r="H86" i="2"/>
  <c r="H85" i="2"/>
  <c r="H84" i="2"/>
  <c r="H83" i="2"/>
  <c r="H82" i="2"/>
  <c r="H81" i="2"/>
  <c r="H80" i="2"/>
  <c r="AS79" i="19" s="1"/>
  <c r="H76" i="2"/>
  <c r="H75" i="2"/>
  <c r="H74" i="2"/>
  <c r="H73" i="2"/>
  <c r="H72" i="2"/>
  <c r="H71" i="2"/>
  <c r="H70" i="2"/>
  <c r="H69" i="2"/>
  <c r="H68" i="2"/>
  <c r="H67" i="2"/>
  <c r="H65" i="2"/>
  <c r="H64" i="2"/>
  <c r="H63" i="2"/>
  <c r="H62" i="2"/>
  <c r="H60" i="2"/>
  <c r="H59" i="2"/>
  <c r="H58" i="2"/>
  <c r="H57" i="2"/>
  <c r="H56" i="2"/>
  <c r="H55" i="2"/>
  <c r="H54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AS37" i="19" s="1"/>
  <c r="H37" i="2"/>
  <c r="H36" i="2"/>
  <c r="H33" i="2"/>
  <c r="H32" i="2"/>
  <c r="H31" i="2"/>
  <c r="H30" i="2"/>
  <c r="AS29" i="19" s="1"/>
  <c r="H29" i="2"/>
  <c r="H28" i="2"/>
  <c r="H25" i="2"/>
  <c r="H24" i="2"/>
  <c r="H23" i="2"/>
  <c r="H22" i="2"/>
  <c r="AS21" i="19" s="1"/>
  <c r="H19" i="2"/>
  <c r="H18" i="2"/>
  <c r="H17" i="2"/>
  <c r="H16" i="2"/>
  <c r="H15" i="2"/>
  <c r="H14" i="2"/>
  <c r="H13" i="2"/>
  <c r="H12" i="2"/>
  <c r="H11" i="2"/>
  <c r="H10" i="2"/>
  <c r="H9" i="2"/>
  <c r="C66" i="21"/>
  <c r="C67" i="21"/>
  <c r="C68" i="21"/>
  <c r="C69" i="21"/>
  <c r="C70" i="21"/>
  <c r="C71" i="21"/>
  <c r="C72" i="21"/>
  <c r="C73" i="21"/>
  <c r="C74" i="21"/>
  <c r="C75" i="21"/>
  <c r="C76" i="21"/>
  <c r="C77" i="21"/>
  <c r="C78" i="21"/>
  <c r="C79" i="21"/>
  <c r="C80" i="21"/>
  <c r="C81" i="21"/>
  <c r="C82" i="21"/>
  <c r="C83" i="21"/>
  <c r="C84" i="21"/>
  <c r="C85" i="21"/>
  <c r="C86" i="21"/>
  <c r="C87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C102" i="21"/>
  <c r="C65" i="21"/>
  <c r="C3" i="21"/>
  <c r="C4" i="21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2" i="21"/>
  <c r="H79" i="2"/>
  <c r="AS78" i="19" s="1"/>
  <c r="H91" i="2"/>
  <c r="AS90" i="19" s="1"/>
  <c r="H77" i="2"/>
  <c r="AS76" i="19" s="1"/>
  <c r="H27" i="2"/>
  <c r="AS26" i="19" s="1"/>
  <c r="H21" i="2"/>
  <c r="AS20" i="19" s="1"/>
  <c r="H35" i="2"/>
  <c r="AS34" i="19" s="1"/>
  <c r="H53" i="2"/>
  <c r="H6" i="2"/>
  <c r="H8" i="2"/>
  <c r="H8" i="3" s="1"/>
  <c r="H8" i="4" s="1"/>
  <c r="H8" i="5" s="1"/>
  <c r="H8" i="6" s="1"/>
  <c r="H8" i="7" s="1"/>
  <c r="H8" i="8" s="1"/>
  <c r="H8" i="9" s="1"/>
  <c r="H8" i="10" s="1"/>
  <c r="H8" i="11" s="1"/>
  <c r="H8" i="12" s="1"/>
  <c r="G7" i="12"/>
  <c r="G20" i="12"/>
  <c r="G26" i="12"/>
  <c r="G34" i="12"/>
  <c r="G52" i="12"/>
  <c r="G61" i="12"/>
  <c r="G66" i="12"/>
  <c r="G78" i="12"/>
  <c r="G90" i="12"/>
  <c r="G95" i="12"/>
  <c r="H5" i="2"/>
  <c r="A3" i="20"/>
  <c r="A16" i="20"/>
  <c r="A22" i="20"/>
  <c r="A30" i="20"/>
  <c r="A48" i="20"/>
  <c r="A57" i="20"/>
  <c r="A62" i="20"/>
  <c r="A74" i="20"/>
  <c r="A86" i="20"/>
  <c r="A91" i="20"/>
  <c r="A93" i="20"/>
  <c r="A94" i="20"/>
  <c r="B2" i="20"/>
  <c r="B3" i="20"/>
  <c r="B4" i="20"/>
  <c r="B5" i="20"/>
  <c r="B6" i="20"/>
  <c r="B7" i="20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1" i="20"/>
  <c r="G9" i="2"/>
  <c r="G10" i="2"/>
  <c r="G11" i="2"/>
  <c r="G12" i="2"/>
  <c r="AR11" i="19" s="1"/>
  <c r="G13" i="2"/>
  <c r="G14" i="2"/>
  <c r="G15" i="2"/>
  <c r="AR14" i="19" s="1"/>
  <c r="G16" i="2"/>
  <c r="AR15" i="19" s="1"/>
  <c r="G17" i="2"/>
  <c r="AR16" i="19" s="1"/>
  <c r="G18" i="2"/>
  <c r="AR17" i="19" s="1"/>
  <c r="G19" i="2"/>
  <c r="G22" i="2"/>
  <c r="AR21" i="19" s="1"/>
  <c r="G23" i="2"/>
  <c r="G24" i="2"/>
  <c r="AR23" i="19" s="1"/>
  <c r="G25" i="2"/>
  <c r="G28" i="2"/>
  <c r="G29" i="2"/>
  <c r="G30" i="2"/>
  <c r="AR29" i="19" s="1"/>
  <c r="G31" i="2"/>
  <c r="G32" i="2"/>
  <c r="AR31" i="19" s="1"/>
  <c r="G33" i="2"/>
  <c r="G36" i="2"/>
  <c r="G37" i="2"/>
  <c r="G38" i="2"/>
  <c r="AR37" i="19" s="1"/>
  <c r="G39" i="2"/>
  <c r="G40" i="2"/>
  <c r="AR39" i="19" s="1"/>
  <c r="G41" i="2"/>
  <c r="G42" i="2"/>
  <c r="G43" i="2"/>
  <c r="G44" i="2"/>
  <c r="AR43" i="19" s="1"/>
  <c r="G45" i="2"/>
  <c r="AR44" i="19" s="1"/>
  <c r="G46" i="2"/>
  <c r="AR45" i="19" s="1"/>
  <c r="G47" i="2"/>
  <c r="G48" i="2"/>
  <c r="AR47" i="19" s="1"/>
  <c r="G49" i="2"/>
  <c r="G50" i="2"/>
  <c r="AR49" i="19" s="1"/>
  <c r="G51" i="2"/>
  <c r="AR50" i="19" s="1"/>
  <c r="G54" i="2"/>
  <c r="AR53" i="19" s="1"/>
  <c r="G55" i="2"/>
  <c r="G56" i="2"/>
  <c r="G57" i="2"/>
  <c r="G58" i="2"/>
  <c r="G59" i="2"/>
  <c r="AR58" i="19" s="1"/>
  <c r="G60" i="2"/>
  <c r="G62" i="2"/>
  <c r="G63" i="2"/>
  <c r="AR62" i="19" s="1"/>
  <c r="G64" i="2"/>
  <c r="G65" i="2"/>
  <c r="AR64" i="19" s="1"/>
  <c r="G67" i="2"/>
  <c r="G68" i="2"/>
  <c r="AR67" i="19" s="1"/>
  <c r="G69" i="2"/>
  <c r="AR68" i="19" s="1"/>
  <c r="G70" i="2"/>
  <c r="AR69" i="19" s="1"/>
  <c r="G71" i="2"/>
  <c r="G72" i="2"/>
  <c r="AR71" i="19" s="1"/>
  <c r="G73" i="2"/>
  <c r="G74" i="2"/>
  <c r="G75" i="2"/>
  <c r="AR74" i="19" s="1"/>
  <c r="G76" i="2"/>
  <c r="G80" i="2"/>
  <c r="AR79" i="19" s="1"/>
  <c r="G81" i="2"/>
  <c r="AR80" i="19" s="1"/>
  <c r="G82" i="2"/>
  <c r="G83" i="2"/>
  <c r="AR82" i="19" s="1"/>
  <c r="G84" i="2"/>
  <c r="AR83" i="19" s="1"/>
  <c r="G85" i="2"/>
  <c r="AR84" i="19" s="1"/>
  <c r="G86" i="2"/>
  <c r="G87" i="2"/>
  <c r="G88" i="2"/>
  <c r="G89" i="2"/>
  <c r="G92" i="2"/>
  <c r="AR91" i="19" s="1"/>
  <c r="G93" i="2"/>
  <c r="G94" i="2"/>
  <c r="AR93" i="19" s="1"/>
  <c r="G96" i="2"/>
  <c r="F91" i="3"/>
  <c r="F79" i="3"/>
  <c r="F77" i="3"/>
  <c r="AM76" i="13" s="1"/>
  <c r="E53" i="3"/>
  <c r="AN52" i="13" s="1"/>
  <c r="F21" i="3"/>
  <c r="AM20" i="13" s="1"/>
  <c r="F8" i="3"/>
  <c r="AM7" i="13" s="1"/>
  <c r="E9" i="3"/>
  <c r="AN8" i="13" s="1"/>
  <c r="F9" i="3"/>
  <c r="AM8" i="13" s="1"/>
  <c r="E10" i="3"/>
  <c r="AN9" i="19" s="1"/>
  <c r="F10" i="3"/>
  <c r="AM9" i="19" s="1"/>
  <c r="E11" i="3"/>
  <c r="AN10" i="19" s="1"/>
  <c r="F11" i="3"/>
  <c r="AM10" i="19" s="1"/>
  <c r="E12" i="3"/>
  <c r="F12" i="3"/>
  <c r="AM11" i="13" s="1"/>
  <c r="E13" i="3"/>
  <c r="AN12" i="19" s="1"/>
  <c r="F13" i="3"/>
  <c r="AM12" i="19" s="1"/>
  <c r="E14" i="3"/>
  <c r="AN13" i="13" s="1"/>
  <c r="F14" i="3"/>
  <c r="AM13" i="13" s="1"/>
  <c r="E15" i="3"/>
  <c r="AN14" i="13" s="1"/>
  <c r="F15" i="3"/>
  <c r="AM14" i="19" s="1"/>
  <c r="E16" i="3"/>
  <c r="AN15" i="19" s="1"/>
  <c r="F16" i="3"/>
  <c r="AM15" i="19" s="1"/>
  <c r="E17" i="3"/>
  <c r="AN16" i="19" s="1"/>
  <c r="F17" i="3"/>
  <c r="AM16" i="19" s="1"/>
  <c r="E18" i="3"/>
  <c r="AN17" i="13" s="1"/>
  <c r="F18" i="3"/>
  <c r="AM17" i="13" s="1"/>
  <c r="E19" i="3"/>
  <c r="AN18" i="19" s="1"/>
  <c r="F19" i="3"/>
  <c r="AM18" i="19" s="1"/>
  <c r="E22" i="3"/>
  <c r="AN21" i="13" s="1"/>
  <c r="F22" i="3"/>
  <c r="AM21" i="19" s="1"/>
  <c r="E23" i="3"/>
  <c r="AN22" i="19" s="1"/>
  <c r="F23" i="3"/>
  <c r="AM22" i="19" s="1"/>
  <c r="E24" i="3"/>
  <c r="F24" i="3"/>
  <c r="AM23" i="19" s="1"/>
  <c r="E25" i="3"/>
  <c r="AN24" i="13" s="1"/>
  <c r="F25" i="3"/>
  <c r="AM24" i="13" s="1"/>
  <c r="F27" i="3"/>
  <c r="AM26" i="13" s="1"/>
  <c r="E28" i="3"/>
  <c r="AN27" i="19" s="1"/>
  <c r="F28" i="3"/>
  <c r="AM27" i="13" s="1"/>
  <c r="E29" i="3"/>
  <c r="AN28" i="19" s="1"/>
  <c r="F29" i="3"/>
  <c r="AM28" i="13" s="1"/>
  <c r="E30" i="3"/>
  <c r="F30" i="3"/>
  <c r="E31" i="3"/>
  <c r="F31" i="3"/>
  <c r="AM30" i="13" s="1"/>
  <c r="E32" i="3"/>
  <c r="F32" i="3"/>
  <c r="AM31" i="13" s="1"/>
  <c r="E33" i="3"/>
  <c r="AN32" i="13" s="1"/>
  <c r="F33" i="3"/>
  <c r="E36" i="3"/>
  <c r="F36" i="3"/>
  <c r="AM35" i="19" s="1"/>
  <c r="E37" i="3"/>
  <c r="AN36" i="19" s="1"/>
  <c r="F37" i="3"/>
  <c r="AM36" i="13" s="1"/>
  <c r="E38" i="3"/>
  <c r="AN37" i="19" s="1"/>
  <c r="F38" i="3"/>
  <c r="AM37" i="19" s="1"/>
  <c r="E39" i="3"/>
  <c r="AN38" i="19" s="1"/>
  <c r="F39" i="3"/>
  <c r="AM38" i="13" s="1"/>
  <c r="E40" i="3"/>
  <c r="F40" i="3"/>
  <c r="AM39" i="19" s="1"/>
  <c r="E41" i="3"/>
  <c r="AN40" i="19" s="1"/>
  <c r="F41" i="3"/>
  <c r="AM40" i="19" s="1"/>
  <c r="E42" i="3"/>
  <c r="AN41" i="19" s="1"/>
  <c r="F42" i="3"/>
  <c r="AM41" i="19" s="1"/>
  <c r="E43" i="3"/>
  <c r="AN42" i="19" s="1"/>
  <c r="F43" i="3"/>
  <c r="AM42" i="19" s="1"/>
  <c r="E44" i="3"/>
  <c r="F44" i="3"/>
  <c r="E45" i="3"/>
  <c r="AN44" i="19" s="1"/>
  <c r="F45" i="3"/>
  <c r="AM44" i="13" s="1"/>
  <c r="E46" i="3"/>
  <c r="AN45" i="19" s="1"/>
  <c r="F46" i="3"/>
  <c r="AM45" i="19" s="1"/>
  <c r="E47" i="3"/>
  <c r="AN46" i="19" s="1"/>
  <c r="F47" i="3"/>
  <c r="AM46" i="19" s="1"/>
  <c r="E48" i="3"/>
  <c r="AN47" i="19" s="1"/>
  <c r="F48" i="3"/>
  <c r="AM47" i="19" s="1"/>
  <c r="E49" i="3"/>
  <c r="AN48" i="19" s="1"/>
  <c r="F49" i="3"/>
  <c r="AM48" i="13" s="1"/>
  <c r="E50" i="3"/>
  <c r="F50" i="3"/>
  <c r="AM49" i="13" s="1"/>
  <c r="E51" i="3"/>
  <c r="AN50" i="19" s="1"/>
  <c r="F51" i="3"/>
  <c r="AM50" i="13" s="1"/>
  <c r="F53" i="3"/>
  <c r="AM52" i="13" s="1"/>
  <c r="E54" i="3"/>
  <c r="AN53" i="19" s="1"/>
  <c r="F54" i="3"/>
  <c r="AM53" i="19" s="1"/>
  <c r="E55" i="3"/>
  <c r="AN54" i="13" s="1"/>
  <c r="F55" i="3"/>
  <c r="AM54" i="19" s="1"/>
  <c r="E56" i="3"/>
  <c r="AN55" i="19" s="1"/>
  <c r="F56" i="3"/>
  <c r="AM55" i="19" s="1"/>
  <c r="E57" i="3"/>
  <c r="AN56" i="19" s="1"/>
  <c r="F57" i="3"/>
  <c r="E58" i="3"/>
  <c r="AN57" i="13" s="1"/>
  <c r="F58" i="3"/>
  <c r="E59" i="3"/>
  <c r="AN58" i="13" s="1"/>
  <c r="F59" i="3"/>
  <c r="AM58" i="19" s="1"/>
  <c r="E60" i="3"/>
  <c r="AN59" i="13" s="1"/>
  <c r="F60" i="3"/>
  <c r="AM59" i="13" s="1"/>
  <c r="E62" i="3"/>
  <c r="AN61" i="19" s="1"/>
  <c r="F62" i="3"/>
  <c r="AM61" i="19" s="1"/>
  <c r="E63" i="3"/>
  <c r="F63" i="3"/>
  <c r="AM62" i="19" s="1"/>
  <c r="E64" i="3"/>
  <c r="AN63" i="19" s="1"/>
  <c r="F64" i="3"/>
  <c r="AM63" i="19" s="1"/>
  <c r="E65" i="3"/>
  <c r="AN64" i="19" s="1"/>
  <c r="F65" i="3"/>
  <c r="AM64" i="19" s="1"/>
  <c r="E67" i="3"/>
  <c r="AN66" i="19" s="1"/>
  <c r="F67" i="3"/>
  <c r="E68" i="3"/>
  <c r="AN67" i="19" s="1"/>
  <c r="F68" i="3"/>
  <c r="AM67" i="13" s="1"/>
  <c r="E69" i="3"/>
  <c r="AN68" i="13" s="1"/>
  <c r="F69" i="3"/>
  <c r="AM68" i="19" s="1"/>
  <c r="E70" i="3"/>
  <c r="AN69" i="13" s="1"/>
  <c r="F70" i="3"/>
  <c r="AM69" i="19" s="1"/>
  <c r="E71" i="3"/>
  <c r="AN70" i="13" s="1"/>
  <c r="F71" i="3"/>
  <c r="AM70" i="19" s="1"/>
  <c r="E72" i="3"/>
  <c r="F72" i="3"/>
  <c r="E73" i="3"/>
  <c r="AN72" i="13" s="1"/>
  <c r="F73" i="3"/>
  <c r="E74" i="3"/>
  <c r="AN73" i="13" s="1"/>
  <c r="F74" i="3"/>
  <c r="AM73" i="13" s="1"/>
  <c r="E75" i="3"/>
  <c r="AN74" i="13" s="1"/>
  <c r="F75" i="3"/>
  <c r="AM74" i="19" s="1"/>
  <c r="E76" i="3"/>
  <c r="AN75" i="13" s="1"/>
  <c r="F76" i="3"/>
  <c r="AM75" i="19" s="1"/>
  <c r="E79" i="3"/>
  <c r="AN78" i="13" s="1"/>
  <c r="E80" i="3"/>
  <c r="F80" i="3"/>
  <c r="AM79" i="19" s="1"/>
  <c r="E81" i="3"/>
  <c r="AN80" i="13" s="1"/>
  <c r="F81" i="3"/>
  <c r="AM80" i="19" s="1"/>
  <c r="E82" i="3"/>
  <c r="AN81" i="19" s="1"/>
  <c r="F82" i="3"/>
  <c r="E83" i="3"/>
  <c r="AN82" i="13" s="1"/>
  <c r="F83" i="3"/>
  <c r="AM82" i="13" s="1"/>
  <c r="E84" i="3"/>
  <c r="F84" i="3"/>
  <c r="AM83" i="19" s="1"/>
  <c r="E85" i="3"/>
  <c r="AN84" i="19" s="1"/>
  <c r="F85" i="3"/>
  <c r="AM84" i="19" s="1"/>
  <c r="E86" i="3"/>
  <c r="F86" i="3"/>
  <c r="E87" i="3"/>
  <c r="AN86" i="19" s="1"/>
  <c r="F87" i="3"/>
  <c r="AM86" i="19" s="1"/>
  <c r="E88" i="3"/>
  <c r="AN87" i="13" s="1"/>
  <c r="F88" i="3"/>
  <c r="AM87" i="19" s="1"/>
  <c r="E89" i="3"/>
  <c r="AN88" i="13" s="1"/>
  <c r="F89" i="3"/>
  <c r="AM88" i="19" s="1"/>
  <c r="E91" i="3"/>
  <c r="AN90" i="13" s="1"/>
  <c r="E92" i="3"/>
  <c r="F92" i="3"/>
  <c r="AM91" i="13" s="1"/>
  <c r="E93" i="3"/>
  <c r="AN92" i="19" s="1"/>
  <c r="F93" i="3"/>
  <c r="E94" i="3"/>
  <c r="AN93" i="13" s="1"/>
  <c r="F94" i="3"/>
  <c r="AM93" i="13" s="1"/>
  <c r="E96" i="3"/>
  <c r="AN95" i="13" s="1"/>
  <c r="F96" i="3"/>
  <c r="AM95" i="13" s="1"/>
  <c r="G35" i="2"/>
  <c r="AR34" i="19" s="1"/>
  <c r="G21" i="2"/>
  <c r="AR20" i="19" s="1"/>
  <c r="G77" i="2"/>
  <c r="E21" i="3"/>
  <c r="AN20" i="13" s="1"/>
  <c r="G27" i="2"/>
  <c r="G79" i="2"/>
  <c r="G91" i="2"/>
  <c r="G8" i="2"/>
  <c r="G53" i="2"/>
  <c r="F6" i="3"/>
  <c r="AM5" i="13" s="1"/>
  <c r="E8" i="3"/>
  <c r="AN7" i="13" s="1"/>
  <c r="G6" i="2"/>
  <c r="F35" i="3"/>
  <c r="AM34" i="13" s="1"/>
  <c r="AQ94" i="19"/>
  <c r="AP94" i="19"/>
  <c r="AO94" i="19"/>
  <c r="AN94" i="19"/>
  <c r="AM94" i="19"/>
  <c r="AL94" i="19"/>
  <c r="AK94" i="19"/>
  <c r="AJ94" i="19"/>
  <c r="AI94" i="19"/>
  <c r="AH94" i="19"/>
  <c r="AG94" i="19"/>
  <c r="AF94" i="19"/>
  <c r="AE94" i="19"/>
  <c r="AD94" i="19"/>
  <c r="AC94" i="19"/>
  <c r="AB94" i="19"/>
  <c r="AA94" i="19"/>
  <c r="Z94" i="19"/>
  <c r="Y94" i="19"/>
  <c r="X94" i="19"/>
  <c r="W94" i="19"/>
  <c r="V94" i="19"/>
  <c r="U94" i="19"/>
  <c r="T94" i="19"/>
  <c r="S94" i="19"/>
  <c r="R94" i="19"/>
  <c r="Q94" i="19"/>
  <c r="P94" i="19"/>
  <c r="O94" i="19"/>
  <c r="N94" i="19"/>
  <c r="M94" i="19"/>
  <c r="L94" i="19"/>
  <c r="K94" i="19"/>
  <c r="J94" i="19"/>
  <c r="I94" i="19"/>
  <c r="H94" i="19"/>
  <c r="G94" i="19"/>
  <c r="F94" i="19"/>
  <c r="E94" i="19"/>
  <c r="D94" i="19"/>
  <c r="C94" i="19"/>
  <c r="B94" i="19"/>
  <c r="A94" i="19"/>
  <c r="AQ89" i="19"/>
  <c r="AP89" i="19"/>
  <c r="AO89" i="19"/>
  <c r="AN89" i="19"/>
  <c r="AM89" i="19"/>
  <c r="AL89" i="19"/>
  <c r="AK89" i="19"/>
  <c r="AJ89" i="19"/>
  <c r="AI89" i="19"/>
  <c r="AH89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R89" i="19"/>
  <c r="Q89" i="19"/>
  <c r="P89" i="19"/>
  <c r="O89" i="19"/>
  <c r="N89" i="19"/>
  <c r="M89" i="19"/>
  <c r="L89" i="19"/>
  <c r="K89" i="19"/>
  <c r="J89" i="19"/>
  <c r="I89" i="19"/>
  <c r="H89" i="19"/>
  <c r="G89" i="19"/>
  <c r="F89" i="19"/>
  <c r="E89" i="19"/>
  <c r="D89" i="19"/>
  <c r="C89" i="19"/>
  <c r="B89" i="19"/>
  <c r="A89" i="19"/>
  <c r="AQ77" i="19"/>
  <c r="AP77" i="19"/>
  <c r="AO77" i="19"/>
  <c r="AN77" i="19"/>
  <c r="AM77" i="19"/>
  <c r="AL77" i="19"/>
  <c r="AK77" i="19"/>
  <c r="AJ77" i="19"/>
  <c r="AI77" i="19"/>
  <c r="AH77" i="19"/>
  <c r="AG77" i="19"/>
  <c r="AF77" i="19"/>
  <c r="AE77" i="19"/>
  <c r="AD77" i="19"/>
  <c r="AC77" i="19"/>
  <c r="AB77" i="19"/>
  <c r="AA77" i="19"/>
  <c r="Z77" i="19"/>
  <c r="Y77" i="19"/>
  <c r="X77" i="19"/>
  <c r="W77" i="19"/>
  <c r="V77" i="19"/>
  <c r="U77" i="19"/>
  <c r="T77" i="19"/>
  <c r="S77" i="19"/>
  <c r="R77" i="19"/>
  <c r="Q77" i="19"/>
  <c r="P77" i="19"/>
  <c r="O77" i="19"/>
  <c r="N77" i="19"/>
  <c r="M77" i="19"/>
  <c r="L77" i="19"/>
  <c r="K77" i="19"/>
  <c r="J77" i="19"/>
  <c r="I77" i="19"/>
  <c r="H77" i="19"/>
  <c r="G77" i="19"/>
  <c r="F77" i="19"/>
  <c r="E77" i="19"/>
  <c r="D77" i="19"/>
  <c r="C77" i="19"/>
  <c r="B77" i="19"/>
  <c r="A77" i="19"/>
  <c r="AQ65" i="19"/>
  <c r="AP65" i="19"/>
  <c r="AO65" i="19"/>
  <c r="AN65" i="19"/>
  <c r="AM65" i="19"/>
  <c r="AL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A65" i="19"/>
  <c r="AQ60" i="19"/>
  <c r="AP60" i="19"/>
  <c r="AO60" i="19"/>
  <c r="AN60" i="19"/>
  <c r="AM60" i="19"/>
  <c r="AL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A60" i="19"/>
  <c r="AQ51" i="19"/>
  <c r="AP51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A51" i="19"/>
  <c r="AQ33" i="19"/>
  <c r="AP33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A33" i="19"/>
  <c r="AQ25" i="19"/>
  <c r="AP25" i="19"/>
  <c r="AO25" i="19"/>
  <c r="AN25" i="19"/>
  <c r="AM25" i="19"/>
  <c r="AL25" i="19"/>
  <c r="AK25" i="19"/>
  <c r="AJ25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25" i="19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19" i="19"/>
  <c r="AQ6" i="19"/>
  <c r="AP6" i="19"/>
  <c r="AO6" i="19"/>
  <c r="AN6" i="19"/>
  <c r="AM6" i="19"/>
  <c r="AL6" i="19"/>
  <c r="AK6" i="19"/>
  <c r="AJ6" i="19"/>
  <c r="AI6" i="19"/>
  <c r="AH6" i="19"/>
  <c r="AG6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A6" i="19"/>
  <c r="F5" i="3"/>
  <c r="AM4" i="13" s="1"/>
  <c r="A6" i="13"/>
  <c r="A19" i="13"/>
  <c r="A25" i="13"/>
  <c r="A33" i="13"/>
  <c r="A51" i="13"/>
  <c r="A60" i="13"/>
  <c r="A65" i="13"/>
  <c r="A77" i="13"/>
  <c r="A89" i="13"/>
  <c r="A94" i="13"/>
  <c r="B6" i="13"/>
  <c r="B19" i="13"/>
  <c r="B25" i="13"/>
  <c r="B33" i="13"/>
  <c r="B51" i="13"/>
  <c r="B60" i="13"/>
  <c r="B65" i="13"/>
  <c r="B77" i="13"/>
  <c r="B89" i="13"/>
  <c r="B94" i="13"/>
  <c r="C6" i="13"/>
  <c r="C19" i="13"/>
  <c r="C25" i="13"/>
  <c r="C33" i="13"/>
  <c r="C51" i="13"/>
  <c r="C60" i="13"/>
  <c r="C65" i="13"/>
  <c r="C77" i="13"/>
  <c r="C89" i="13"/>
  <c r="C94" i="13"/>
  <c r="D6" i="13"/>
  <c r="D19" i="13"/>
  <c r="D25" i="13"/>
  <c r="D33" i="13"/>
  <c r="D51" i="13"/>
  <c r="D60" i="13"/>
  <c r="D65" i="13"/>
  <c r="D77" i="13"/>
  <c r="D89" i="13"/>
  <c r="D94" i="13"/>
  <c r="E6" i="13"/>
  <c r="E19" i="13"/>
  <c r="E25" i="13"/>
  <c r="E33" i="13"/>
  <c r="E51" i="13"/>
  <c r="E60" i="13"/>
  <c r="E65" i="13"/>
  <c r="E77" i="13"/>
  <c r="E89" i="13"/>
  <c r="E94" i="13"/>
  <c r="F6" i="13"/>
  <c r="F19" i="13"/>
  <c r="F25" i="13"/>
  <c r="F33" i="13"/>
  <c r="F51" i="13"/>
  <c r="F60" i="13"/>
  <c r="F65" i="13"/>
  <c r="F77" i="13"/>
  <c r="F89" i="13"/>
  <c r="F94" i="13"/>
  <c r="G6" i="13"/>
  <c r="G19" i="13"/>
  <c r="G25" i="13"/>
  <c r="G33" i="13"/>
  <c r="G51" i="13"/>
  <c r="G60" i="13"/>
  <c r="G65" i="13"/>
  <c r="G77" i="13"/>
  <c r="G89" i="13"/>
  <c r="G94" i="13"/>
  <c r="H6" i="13"/>
  <c r="H19" i="13"/>
  <c r="H25" i="13"/>
  <c r="H33" i="13"/>
  <c r="H51" i="13"/>
  <c r="H60" i="13"/>
  <c r="H65" i="13"/>
  <c r="H77" i="13"/>
  <c r="H89" i="13"/>
  <c r="H94" i="13"/>
  <c r="I6" i="13"/>
  <c r="I19" i="13"/>
  <c r="I25" i="13"/>
  <c r="I33" i="13"/>
  <c r="I51" i="13"/>
  <c r="I60" i="13"/>
  <c r="I65" i="13"/>
  <c r="I77" i="13"/>
  <c r="I89" i="13"/>
  <c r="I94" i="13"/>
  <c r="J6" i="13"/>
  <c r="J19" i="13"/>
  <c r="J25" i="13"/>
  <c r="J33" i="13"/>
  <c r="J51" i="13"/>
  <c r="J60" i="13"/>
  <c r="J65" i="13"/>
  <c r="J77" i="13"/>
  <c r="J89" i="13"/>
  <c r="J94" i="13"/>
  <c r="K6" i="13"/>
  <c r="K19" i="13"/>
  <c r="K25" i="13"/>
  <c r="K33" i="13"/>
  <c r="K51" i="13"/>
  <c r="K60" i="13"/>
  <c r="K65" i="13"/>
  <c r="K77" i="13"/>
  <c r="K89" i="13"/>
  <c r="K94" i="13"/>
  <c r="L6" i="13"/>
  <c r="L19" i="13"/>
  <c r="L25" i="13"/>
  <c r="L33" i="13"/>
  <c r="L51" i="13"/>
  <c r="L60" i="13"/>
  <c r="L65" i="13"/>
  <c r="L77" i="13"/>
  <c r="L89" i="13"/>
  <c r="L94" i="13"/>
  <c r="M6" i="13"/>
  <c r="M19" i="13"/>
  <c r="M25" i="13"/>
  <c r="M33" i="13"/>
  <c r="M51" i="13"/>
  <c r="M60" i="13"/>
  <c r="M65" i="13"/>
  <c r="M77" i="13"/>
  <c r="M89" i="13"/>
  <c r="M94" i="13"/>
  <c r="N6" i="13"/>
  <c r="N19" i="13"/>
  <c r="N25" i="13"/>
  <c r="N33" i="13"/>
  <c r="N51" i="13"/>
  <c r="N60" i="13"/>
  <c r="N65" i="13"/>
  <c r="N77" i="13"/>
  <c r="N89" i="13"/>
  <c r="N94" i="13"/>
  <c r="O6" i="13"/>
  <c r="O19" i="13"/>
  <c r="O25" i="13"/>
  <c r="O33" i="13"/>
  <c r="O51" i="13"/>
  <c r="O60" i="13"/>
  <c r="O65" i="13"/>
  <c r="O77" i="13"/>
  <c r="O89" i="13"/>
  <c r="O94" i="13"/>
  <c r="P6" i="13"/>
  <c r="P19" i="13"/>
  <c r="P25" i="13"/>
  <c r="P33" i="13"/>
  <c r="P51" i="13"/>
  <c r="P60" i="13"/>
  <c r="P65" i="13"/>
  <c r="P77" i="13"/>
  <c r="P89" i="13"/>
  <c r="P94" i="13"/>
  <c r="Q6" i="13"/>
  <c r="Q19" i="13"/>
  <c r="Q25" i="13"/>
  <c r="Q33" i="13"/>
  <c r="Q51" i="13"/>
  <c r="Q60" i="13"/>
  <c r="Q65" i="13"/>
  <c r="Q77" i="13"/>
  <c r="Q89" i="13"/>
  <c r="Q94" i="13"/>
  <c r="R6" i="13"/>
  <c r="R19" i="13"/>
  <c r="R25" i="13"/>
  <c r="R33" i="13"/>
  <c r="R51" i="13"/>
  <c r="R60" i="13"/>
  <c r="R65" i="13"/>
  <c r="R77" i="13"/>
  <c r="R89" i="13"/>
  <c r="R94" i="13"/>
  <c r="S6" i="13"/>
  <c r="S19" i="13"/>
  <c r="S25" i="13"/>
  <c r="S33" i="13"/>
  <c r="S51" i="13"/>
  <c r="S60" i="13"/>
  <c r="S65" i="13"/>
  <c r="S77" i="13"/>
  <c r="S89" i="13"/>
  <c r="S94" i="13"/>
  <c r="T6" i="13"/>
  <c r="T19" i="13"/>
  <c r="T25" i="13"/>
  <c r="T33" i="13"/>
  <c r="T51" i="13"/>
  <c r="T60" i="13"/>
  <c r="T65" i="13"/>
  <c r="T77" i="13"/>
  <c r="T89" i="13"/>
  <c r="T94" i="13"/>
  <c r="U6" i="13"/>
  <c r="U19" i="13"/>
  <c r="U25" i="13"/>
  <c r="U33" i="13"/>
  <c r="U51" i="13"/>
  <c r="U60" i="13"/>
  <c r="U65" i="13"/>
  <c r="U77" i="13"/>
  <c r="U89" i="13"/>
  <c r="U94" i="13"/>
  <c r="V6" i="13"/>
  <c r="V19" i="13"/>
  <c r="V25" i="13"/>
  <c r="V33" i="13"/>
  <c r="V51" i="13"/>
  <c r="V60" i="13"/>
  <c r="V65" i="13"/>
  <c r="V77" i="13"/>
  <c r="V89" i="13"/>
  <c r="V94" i="13"/>
  <c r="W6" i="13"/>
  <c r="W19" i="13"/>
  <c r="W25" i="13"/>
  <c r="W33" i="13"/>
  <c r="W51" i="13"/>
  <c r="W60" i="13"/>
  <c r="W65" i="13"/>
  <c r="W77" i="13"/>
  <c r="W89" i="13"/>
  <c r="W94" i="13"/>
  <c r="X6" i="13"/>
  <c r="X19" i="13"/>
  <c r="X25" i="13"/>
  <c r="X33" i="13"/>
  <c r="X51" i="13"/>
  <c r="X60" i="13"/>
  <c r="X65" i="13"/>
  <c r="X77" i="13"/>
  <c r="X89" i="13"/>
  <c r="X94" i="13"/>
  <c r="Y6" i="13"/>
  <c r="Y19" i="13"/>
  <c r="Y25" i="13"/>
  <c r="Y33" i="13"/>
  <c r="Y51" i="13"/>
  <c r="Y60" i="13"/>
  <c r="Y65" i="13"/>
  <c r="Y77" i="13"/>
  <c r="Y89" i="13"/>
  <c r="Y94" i="13"/>
  <c r="Z6" i="13"/>
  <c r="Z19" i="13"/>
  <c r="Z25" i="13"/>
  <c r="Z33" i="13"/>
  <c r="Z51" i="13"/>
  <c r="Z60" i="13"/>
  <c r="Z65" i="13"/>
  <c r="Z77" i="13"/>
  <c r="Z89" i="13"/>
  <c r="Z94" i="13"/>
  <c r="AA6" i="13"/>
  <c r="AA19" i="13"/>
  <c r="AA25" i="13"/>
  <c r="AA33" i="13"/>
  <c r="AA51" i="13"/>
  <c r="AA60" i="13"/>
  <c r="AA65" i="13"/>
  <c r="AA77" i="13"/>
  <c r="AA89" i="13"/>
  <c r="AA94" i="13"/>
  <c r="AB6" i="13"/>
  <c r="AB19" i="13"/>
  <c r="AB25" i="13"/>
  <c r="AB33" i="13"/>
  <c r="AB51" i="13"/>
  <c r="AB60" i="13"/>
  <c r="AB65" i="13"/>
  <c r="AB77" i="13"/>
  <c r="AB89" i="13"/>
  <c r="AB94" i="13"/>
  <c r="AC6" i="13"/>
  <c r="AC19" i="13"/>
  <c r="AC25" i="13"/>
  <c r="AC33" i="13"/>
  <c r="AC51" i="13"/>
  <c r="AC60" i="13"/>
  <c r="AC65" i="13"/>
  <c r="AC77" i="13"/>
  <c r="AC89" i="13"/>
  <c r="AC94" i="13"/>
  <c r="AD6" i="13"/>
  <c r="AD19" i="13"/>
  <c r="AD25" i="13"/>
  <c r="AD33" i="13"/>
  <c r="AD51" i="13"/>
  <c r="AD60" i="13"/>
  <c r="AD65" i="13"/>
  <c r="AD77" i="13"/>
  <c r="AD89" i="13"/>
  <c r="AD94" i="13"/>
  <c r="AE6" i="13"/>
  <c r="AE19" i="13"/>
  <c r="AE25" i="13"/>
  <c r="AE33" i="13"/>
  <c r="AE51" i="13"/>
  <c r="AE60" i="13"/>
  <c r="AE65" i="13"/>
  <c r="AE77" i="13"/>
  <c r="AE89" i="13"/>
  <c r="AE94" i="13"/>
  <c r="AF6" i="13"/>
  <c r="AF19" i="13"/>
  <c r="AF25" i="13"/>
  <c r="AF33" i="13"/>
  <c r="AF51" i="13"/>
  <c r="AF60" i="13"/>
  <c r="AF65" i="13"/>
  <c r="AF77" i="13"/>
  <c r="AF89" i="13"/>
  <c r="AF94" i="13"/>
  <c r="AG6" i="13"/>
  <c r="AG19" i="13"/>
  <c r="AG25" i="13"/>
  <c r="AG33" i="13"/>
  <c r="AG51" i="13"/>
  <c r="AG60" i="13"/>
  <c r="AG65" i="13"/>
  <c r="AG77" i="13"/>
  <c r="AG89" i="13"/>
  <c r="AG94" i="13"/>
  <c r="AH6" i="13"/>
  <c r="AH19" i="13"/>
  <c r="AH25" i="13"/>
  <c r="AH33" i="13"/>
  <c r="AH51" i="13"/>
  <c r="AH60" i="13"/>
  <c r="AH65" i="13"/>
  <c r="AH77" i="13"/>
  <c r="AH89" i="13"/>
  <c r="AH94" i="13"/>
  <c r="AI6" i="13"/>
  <c r="AI19" i="13"/>
  <c r="AI25" i="13"/>
  <c r="AI33" i="13"/>
  <c r="AI51" i="13"/>
  <c r="AI60" i="13"/>
  <c r="AI65" i="13"/>
  <c r="AI77" i="13"/>
  <c r="AI89" i="13"/>
  <c r="AI94" i="13"/>
  <c r="AJ6" i="13"/>
  <c r="AJ19" i="13"/>
  <c r="AJ25" i="13"/>
  <c r="AJ33" i="13"/>
  <c r="AJ51" i="13"/>
  <c r="AJ60" i="13"/>
  <c r="AJ65" i="13"/>
  <c r="AJ77" i="13"/>
  <c r="AJ89" i="13"/>
  <c r="AJ94" i="13"/>
  <c r="AK6" i="13"/>
  <c r="AK19" i="13"/>
  <c r="AK25" i="13"/>
  <c r="AK33" i="13"/>
  <c r="AK51" i="13"/>
  <c r="AK60" i="13"/>
  <c r="AK65" i="13"/>
  <c r="AK77" i="13"/>
  <c r="AK89" i="13"/>
  <c r="AK94" i="13"/>
  <c r="AL6" i="13"/>
  <c r="AL19" i="13"/>
  <c r="AL25" i="13"/>
  <c r="AL33" i="13"/>
  <c r="AL51" i="13"/>
  <c r="AL60" i="13"/>
  <c r="AL65" i="13"/>
  <c r="AL77" i="13"/>
  <c r="AL89" i="13"/>
  <c r="AL94" i="13"/>
  <c r="AM6" i="13"/>
  <c r="AM19" i="13"/>
  <c r="AM25" i="13"/>
  <c r="AM33" i="13"/>
  <c r="AM51" i="13"/>
  <c r="AM60" i="13"/>
  <c r="AM65" i="13"/>
  <c r="AM77" i="13"/>
  <c r="AM89" i="13"/>
  <c r="AM94" i="13"/>
  <c r="AN6" i="13"/>
  <c r="AN19" i="13"/>
  <c r="AN25" i="13"/>
  <c r="AN33" i="13"/>
  <c r="AN51" i="13"/>
  <c r="AN60" i="13"/>
  <c r="AN65" i="13"/>
  <c r="AN77" i="13"/>
  <c r="AN89" i="13"/>
  <c r="AN94" i="13"/>
  <c r="AO6" i="13"/>
  <c r="AO19" i="13"/>
  <c r="AO25" i="13"/>
  <c r="AO33" i="13"/>
  <c r="AO51" i="13"/>
  <c r="AO60" i="13"/>
  <c r="AO65" i="13"/>
  <c r="AO77" i="13"/>
  <c r="AO89" i="13"/>
  <c r="AO94" i="13"/>
  <c r="AP6" i="13"/>
  <c r="AP19" i="13"/>
  <c r="AP25" i="13"/>
  <c r="AP33" i="13"/>
  <c r="AP51" i="13"/>
  <c r="AP60" i="13"/>
  <c r="AP65" i="13"/>
  <c r="AP77" i="13"/>
  <c r="AP89" i="13"/>
  <c r="AP94" i="13"/>
  <c r="AQ6" i="13"/>
  <c r="AQ19" i="13"/>
  <c r="AQ25" i="13"/>
  <c r="AQ33" i="13"/>
  <c r="AQ51" i="13"/>
  <c r="AQ60" i="13"/>
  <c r="AQ65" i="13"/>
  <c r="AQ77" i="13"/>
  <c r="AQ89" i="13"/>
  <c r="AQ94" i="13"/>
  <c r="AR6" i="13"/>
  <c r="AR19" i="13"/>
  <c r="AR25" i="13"/>
  <c r="AR33" i="13"/>
  <c r="AR51" i="13"/>
  <c r="AR60" i="13"/>
  <c r="AR65" i="13"/>
  <c r="AR77" i="13"/>
  <c r="AR89" i="13"/>
  <c r="AR94" i="13"/>
  <c r="AS6" i="13"/>
  <c r="AS19" i="13"/>
  <c r="AS25" i="13"/>
  <c r="AS33" i="13"/>
  <c r="AS51" i="13"/>
  <c r="AS60" i="13"/>
  <c r="AS65" i="13"/>
  <c r="AS77" i="13"/>
  <c r="AS89" i="13"/>
  <c r="AS94" i="13"/>
  <c r="AT6" i="13"/>
  <c r="AT19" i="13"/>
  <c r="AT25" i="13"/>
  <c r="AT33" i="13"/>
  <c r="AT51" i="13"/>
  <c r="AT60" i="13"/>
  <c r="AT65" i="13"/>
  <c r="AT77" i="13"/>
  <c r="AT89" i="13"/>
  <c r="AT94" i="13"/>
  <c r="F96" i="12"/>
  <c r="C95" i="19" s="1"/>
  <c r="E96" i="12"/>
  <c r="D95" i="13" s="1"/>
  <c r="F94" i="12"/>
  <c r="C93" i="13" s="1"/>
  <c r="E94" i="12"/>
  <c r="D93" i="13" s="1"/>
  <c r="F93" i="12"/>
  <c r="C92" i="19" s="1"/>
  <c r="E93" i="12"/>
  <c r="D92" i="19" s="1"/>
  <c r="F92" i="12"/>
  <c r="C91" i="19" s="1"/>
  <c r="E92" i="12"/>
  <c r="D91" i="19" s="1"/>
  <c r="F91" i="12"/>
  <c r="C90" i="13" s="1"/>
  <c r="F89" i="12"/>
  <c r="E89" i="12"/>
  <c r="D88" i="19" s="1"/>
  <c r="F88" i="12"/>
  <c r="C87" i="13" s="1"/>
  <c r="E88" i="12"/>
  <c r="D87" i="19" s="1"/>
  <c r="F87" i="12"/>
  <c r="C86" i="13" s="1"/>
  <c r="E87" i="12"/>
  <c r="D86" i="19" s="1"/>
  <c r="F86" i="12"/>
  <c r="C85" i="13" s="1"/>
  <c r="E86" i="12"/>
  <c r="D85" i="19" s="1"/>
  <c r="F85" i="12"/>
  <c r="C84" i="13" s="1"/>
  <c r="E85" i="12"/>
  <c r="D84" i="19" s="1"/>
  <c r="F84" i="12"/>
  <c r="C83" i="13" s="1"/>
  <c r="E84" i="12"/>
  <c r="D83" i="19" s="1"/>
  <c r="F83" i="12"/>
  <c r="C82" i="13" s="1"/>
  <c r="E83" i="12"/>
  <c r="D82" i="13" s="1"/>
  <c r="F82" i="12"/>
  <c r="C81" i="13" s="1"/>
  <c r="E82" i="12"/>
  <c r="D81" i="19" s="1"/>
  <c r="F81" i="12"/>
  <c r="C80" i="13" s="1"/>
  <c r="E81" i="12"/>
  <c r="D80" i="19" s="1"/>
  <c r="F80" i="12"/>
  <c r="C79" i="13" s="1"/>
  <c r="E80" i="12"/>
  <c r="D79" i="19" s="1"/>
  <c r="E79" i="12"/>
  <c r="D78" i="13" s="1"/>
  <c r="F77" i="12"/>
  <c r="C76" i="13" s="1"/>
  <c r="E77" i="12"/>
  <c r="D76" i="13" s="1"/>
  <c r="F76" i="12"/>
  <c r="C75" i="19" s="1"/>
  <c r="E76" i="12"/>
  <c r="D75" i="19" s="1"/>
  <c r="F75" i="12"/>
  <c r="C74" i="19" s="1"/>
  <c r="E75" i="12"/>
  <c r="D74" i="19" s="1"/>
  <c r="F74" i="12"/>
  <c r="C73" i="19" s="1"/>
  <c r="E74" i="12"/>
  <c r="D73" i="19" s="1"/>
  <c r="F73" i="12"/>
  <c r="C72" i="19" s="1"/>
  <c r="E73" i="12"/>
  <c r="D72" i="19" s="1"/>
  <c r="F72" i="12"/>
  <c r="C71" i="19" s="1"/>
  <c r="E72" i="12"/>
  <c r="D71" i="19" s="1"/>
  <c r="F71" i="12"/>
  <c r="C70" i="19" s="1"/>
  <c r="E71" i="12"/>
  <c r="D70" i="19" s="1"/>
  <c r="F70" i="12"/>
  <c r="C69" i="19" s="1"/>
  <c r="E70" i="12"/>
  <c r="D69" i="19" s="1"/>
  <c r="F69" i="12"/>
  <c r="C68" i="19" s="1"/>
  <c r="E69" i="12"/>
  <c r="D68" i="13" s="1"/>
  <c r="F68" i="12"/>
  <c r="C67" i="19" s="1"/>
  <c r="E68" i="12"/>
  <c r="D67" i="19" s="1"/>
  <c r="F67" i="12"/>
  <c r="C66" i="19" s="1"/>
  <c r="E67" i="12"/>
  <c r="D66" i="19" s="1"/>
  <c r="F65" i="12"/>
  <c r="C64" i="19" s="1"/>
  <c r="E65" i="12"/>
  <c r="D64" i="19" s="1"/>
  <c r="F64" i="12"/>
  <c r="C63" i="19" s="1"/>
  <c r="E64" i="12"/>
  <c r="D63" i="19" s="1"/>
  <c r="F63" i="12"/>
  <c r="C62" i="19" s="1"/>
  <c r="E63" i="12"/>
  <c r="D62" i="19" s="1"/>
  <c r="F62" i="12"/>
  <c r="C61" i="19" s="1"/>
  <c r="E62" i="12"/>
  <c r="D61" i="13" s="1"/>
  <c r="F60" i="12"/>
  <c r="C59" i="13" s="1"/>
  <c r="E60" i="12"/>
  <c r="D59" i="13" s="1"/>
  <c r="F59" i="12"/>
  <c r="C58" i="19" s="1"/>
  <c r="E59" i="12"/>
  <c r="D58" i="13" s="1"/>
  <c r="F58" i="12"/>
  <c r="C57" i="19" s="1"/>
  <c r="E58" i="12"/>
  <c r="D57" i="19" s="1"/>
  <c r="F57" i="12"/>
  <c r="C56" i="19" s="1"/>
  <c r="E57" i="12"/>
  <c r="D56" i="19" s="1"/>
  <c r="F56" i="12"/>
  <c r="C55" i="19" s="1"/>
  <c r="E56" i="12"/>
  <c r="D55" i="19" s="1"/>
  <c r="F55" i="12"/>
  <c r="C54" i="19" s="1"/>
  <c r="E55" i="12"/>
  <c r="D54" i="13" s="1"/>
  <c r="F54" i="12"/>
  <c r="C53" i="19" s="1"/>
  <c r="E54" i="12"/>
  <c r="D53" i="19" s="1"/>
  <c r="F53" i="12"/>
  <c r="C52" i="13" s="1"/>
  <c r="F51" i="12"/>
  <c r="C50" i="13" s="1"/>
  <c r="E51" i="12"/>
  <c r="D50" i="19" s="1"/>
  <c r="F50" i="12"/>
  <c r="C49" i="13" s="1"/>
  <c r="E50" i="12"/>
  <c r="D49" i="19" s="1"/>
  <c r="F49" i="12"/>
  <c r="C48" i="13" s="1"/>
  <c r="E49" i="12"/>
  <c r="D48" i="13" s="1"/>
  <c r="F48" i="12"/>
  <c r="C47" i="13" s="1"/>
  <c r="E48" i="12"/>
  <c r="D47" i="19" s="1"/>
  <c r="F47" i="12"/>
  <c r="C46" i="13" s="1"/>
  <c r="E47" i="12"/>
  <c r="D46" i="19" s="1"/>
  <c r="F46" i="12"/>
  <c r="C45" i="13" s="1"/>
  <c r="E46" i="12"/>
  <c r="D45" i="19" s="1"/>
  <c r="F45" i="12"/>
  <c r="C44" i="13" s="1"/>
  <c r="E45" i="12"/>
  <c r="D44" i="19" s="1"/>
  <c r="F44" i="12"/>
  <c r="C43" i="13" s="1"/>
  <c r="E44" i="12"/>
  <c r="D43" i="19" s="1"/>
  <c r="F43" i="12"/>
  <c r="C42" i="13" s="1"/>
  <c r="E43" i="12"/>
  <c r="D42" i="19" s="1"/>
  <c r="F42" i="12"/>
  <c r="C41" i="13" s="1"/>
  <c r="E42" i="12"/>
  <c r="D41" i="19" s="1"/>
  <c r="F41" i="12"/>
  <c r="C40" i="13" s="1"/>
  <c r="E41" i="12"/>
  <c r="D40" i="19" s="1"/>
  <c r="F40" i="12"/>
  <c r="C39" i="13" s="1"/>
  <c r="E40" i="12"/>
  <c r="D39" i="19" s="1"/>
  <c r="F39" i="12"/>
  <c r="C38" i="13" s="1"/>
  <c r="E39" i="12"/>
  <c r="D38" i="19" s="1"/>
  <c r="F38" i="12"/>
  <c r="C37" i="13" s="1"/>
  <c r="E38" i="12"/>
  <c r="D37" i="19" s="1"/>
  <c r="F37" i="12"/>
  <c r="C36" i="13" s="1"/>
  <c r="E37" i="12"/>
  <c r="D36" i="19" s="1"/>
  <c r="F36" i="12"/>
  <c r="C35" i="13" s="1"/>
  <c r="E36" i="12"/>
  <c r="D35" i="19" s="1"/>
  <c r="F33" i="12"/>
  <c r="C32" i="13" s="1"/>
  <c r="E33" i="12"/>
  <c r="D32" i="13" s="1"/>
  <c r="F32" i="12"/>
  <c r="C31" i="19" s="1"/>
  <c r="E32" i="12"/>
  <c r="D31" i="13" s="1"/>
  <c r="F31" i="12"/>
  <c r="C30" i="19" s="1"/>
  <c r="E31" i="12"/>
  <c r="D30" i="13" s="1"/>
  <c r="F30" i="12"/>
  <c r="C29" i="19" s="1"/>
  <c r="E30" i="12"/>
  <c r="D29" i="13" s="1"/>
  <c r="F29" i="12"/>
  <c r="C28" i="19" s="1"/>
  <c r="E29" i="12"/>
  <c r="D28" i="19" s="1"/>
  <c r="F28" i="12"/>
  <c r="C27" i="19" s="1"/>
  <c r="E28" i="12"/>
  <c r="D27" i="13" s="1"/>
  <c r="F27" i="12"/>
  <c r="C26" i="13" s="1"/>
  <c r="F25" i="12"/>
  <c r="C24" i="13" s="1"/>
  <c r="E25" i="12"/>
  <c r="D24" i="13" s="1"/>
  <c r="F24" i="12"/>
  <c r="C23" i="13" s="1"/>
  <c r="E24" i="12"/>
  <c r="D23" i="19" s="1"/>
  <c r="F23" i="12"/>
  <c r="C22" i="13" s="1"/>
  <c r="E23" i="12"/>
  <c r="D22" i="19" s="1"/>
  <c r="F22" i="12"/>
  <c r="C21" i="13" s="1"/>
  <c r="E22" i="12"/>
  <c r="D21" i="13" s="1"/>
  <c r="F21" i="12"/>
  <c r="C20" i="13" s="1"/>
  <c r="E21" i="12"/>
  <c r="D20" i="13" s="1"/>
  <c r="F19" i="12"/>
  <c r="C18" i="13" s="1"/>
  <c r="E19" i="12"/>
  <c r="D18" i="19" s="1"/>
  <c r="F18" i="12"/>
  <c r="C17" i="13" s="1"/>
  <c r="E18" i="12"/>
  <c r="D17" i="13" s="1"/>
  <c r="F17" i="12"/>
  <c r="C16" i="13" s="1"/>
  <c r="E17" i="12"/>
  <c r="D16" i="19" s="1"/>
  <c r="F16" i="12"/>
  <c r="C15" i="13" s="1"/>
  <c r="E16" i="12"/>
  <c r="D15" i="13" s="1"/>
  <c r="F15" i="12"/>
  <c r="C14" i="13" s="1"/>
  <c r="E15" i="12"/>
  <c r="D14" i="13" s="1"/>
  <c r="F14" i="12"/>
  <c r="C13" i="13" s="1"/>
  <c r="E14" i="12"/>
  <c r="D13" i="13" s="1"/>
  <c r="F13" i="12"/>
  <c r="C12" i="13" s="1"/>
  <c r="E13" i="12"/>
  <c r="D12" i="13" s="1"/>
  <c r="F12" i="12"/>
  <c r="C11" i="13" s="1"/>
  <c r="E12" i="12"/>
  <c r="D11" i="13" s="1"/>
  <c r="F11" i="12"/>
  <c r="C10" i="13" s="1"/>
  <c r="E11" i="12"/>
  <c r="D10" i="19" s="1"/>
  <c r="F10" i="12"/>
  <c r="C9" i="13" s="1"/>
  <c r="E10" i="12"/>
  <c r="D9" i="13" s="1"/>
  <c r="F9" i="12"/>
  <c r="C8" i="13" s="1"/>
  <c r="E9" i="12"/>
  <c r="D8" i="19" s="1"/>
  <c r="E8" i="12"/>
  <c r="D7" i="13" s="1"/>
  <c r="F96" i="11"/>
  <c r="G95" i="13" s="1"/>
  <c r="E96" i="11"/>
  <c r="H95" i="19" s="1"/>
  <c r="F94" i="11"/>
  <c r="G93" i="13" s="1"/>
  <c r="E94" i="11"/>
  <c r="H93" i="13" s="1"/>
  <c r="F93" i="11"/>
  <c r="G92" i="13" s="1"/>
  <c r="E93" i="11"/>
  <c r="H92" i="19" s="1"/>
  <c r="F92" i="11"/>
  <c r="G91" i="13" s="1"/>
  <c r="E92" i="11"/>
  <c r="H91" i="13" s="1"/>
  <c r="F91" i="11"/>
  <c r="G90" i="13" s="1"/>
  <c r="F89" i="11"/>
  <c r="G88" i="19" s="1"/>
  <c r="E89" i="11"/>
  <c r="H88" i="13" s="1"/>
  <c r="F88" i="11"/>
  <c r="G87" i="19" s="1"/>
  <c r="E88" i="11"/>
  <c r="H87" i="19" s="1"/>
  <c r="F87" i="11"/>
  <c r="G86" i="19" s="1"/>
  <c r="E87" i="11"/>
  <c r="H86" i="19" s="1"/>
  <c r="F86" i="11"/>
  <c r="G85" i="19" s="1"/>
  <c r="E86" i="11"/>
  <c r="H85" i="19" s="1"/>
  <c r="F85" i="11"/>
  <c r="G84" i="19" s="1"/>
  <c r="E85" i="11"/>
  <c r="H84" i="19" s="1"/>
  <c r="F84" i="11"/>
  <c r="G83" i="19" s="1"/>
  <c r="E84" i="11"/>
  <c r="H83" i="19" s="1"/>
  <c r="F83" i="11"/>
  <c r="G82" i="13" s="1"/>
  <c r="E83" i="11"/>
  <c r="H82" i="13" s="1"/>
  <c r="F82" i="11"/>
  <c r="G81" i="19" s="1"/>
  <c r="E82" i="11"/>
  <c r="H81" i="19" s="1"/>
  <c r="F81" i="11"/>
  <c r="G80" i="19" s="1"/>
  <c r="E81" i="11"/>
  <c r="H80" i="19" s="1"/>
  <c r="F80" i="11"/>
  <c r="G79" i="19" s="1"/>
  <c r="E80" i="11"/>
  <c r="H79" i="13" s="1"/>
  <c r="E79" i="11"/>
  <c r="H78" i="13" s="1"/>
  <c r="F77" i="11"/>
  <c r="G76" i="13" s="1"/>
  <c r="E77" i="11"/>
  <c r="H76" i="13" s="1"/>
  <c r="F76" i="11"/>
  <c r="G75" i="19" s="1"/>
  <c r="E76" i="11"/>
  <c r="H75" i="13" s="1"/>
  <c r="F75" i="11"/>
  <c r="G74" i="13" s="1"/>
  <c r="E75" i="11"/>
  <c r="H74" i="19" s="1"/>
  <c r="F74" i="11"/>
  <c r="G73" i="13" s="1"/>
  <c r="E74" i="11"/>
  <c r="H73" i="19" s="1"/>
  <c r="F73" i="11"/>
  <c r="G72" i="19" s="1"/>
  <c r="E73" i="11"/>
  <c r="H72" i="19" s="1"/>
  <c r="F72" i="11"/>
  <c r="G71" i="19" s="1"/>
  <c r="E72" i="11"/>
  <c r="H71" i="13" s="1"/>
  <c r="F71" i="11"/>
  <c r="G70" i="13" s="1"/>
  <c r="E71" i="11"/>
  <c r="H70" i="19" s="1"/>
  <c r="F70" i="11"/>
  <c r="G69" i="19" s="1"/>
  <c r="E70" i="11"/>
  <c r="H69" i="19" s="1"/>
  <c r="F69" i="11"/>
  <c r="G68" i="13" s="1"/>
  <c r="E69" i="11"/>
  <c r="H68" i="19" s="1"/>
  <c r="F68" i="11"/>
  <c r="G67" i="13" s="1"/>
  <c r="E68" i="11"/>
  <c r="H67" i="13" s="1"/>
  <c r="F67" i="11"/>
  <c r="G66" i="13" s="1"/>
  <c r="E67" i="11"/>
  <c r="H66" i="19" s="1"/>
  <c r="F65" i="11"/>
  <c r="G64" i="19" s="1"/>
  <c r="E65" i="11"/>
  <c r="H64" i="19" s="1"/>
  <c r="F64" i="11"/>
  <c r="G63" i="19" s="1"/>
  <c r="E64" i="11"/>
  <c r="H63" i="19" s="1"/>
  <c r="F63" i="11"/>
  <c r="G62" i="13" s="1"/>
  <c r="E63" i="11"/>
  <c r="H62" i="13" s="1"/>
  <c r="F62" i="11"/>
  <c r="G61" i="13" s="1"/>
  <c r="E62" i="11"/>
  <c r="H61" i="19" s="1"/>
  <c r="F60" i="11"/>
  <c r="G59" i="13" s="1"/>
  <c r="E60" i="11"/>
  <c r="H59" i="13" s="1"/>
  <c r="F59" i="11"/>
  <c r="G58" i="19" s="1"/>
  <c r="E59" i="11"/>
  <c r="H58" i="13" s="1"/>
  <c r="F58" i="11"/>
  <c r="G57" i="19" s="1"/>
  <c r="E58" i="11"/>
  <c r="H57" i="19" s="1"/>
  <c r="F57" i="11"/>
  <c r="G56" i="13" s="1"/>
  <c r="E57" i="11"/>
  <c r="H56" i="19" s="1"/>
  <c r="F56" i="11"/>
  <c r="G55" i="13" s="1"/>
  <c r="E56" i="11"/>
  <c r="H55" i="19" s="1"/>
  <c r="F55" i="11"/>
  <c r="G54" i="19" s="1"/>
  <c r="E55" i="11"/>
  <c r="F54" i="11"/>
  <c r="G53" i="19" s="1"/>
  <c r="E54" i="11"/>
  <c r="H53" i="19" s="1"/>
  <c r="F53" i="11"/>
  <c r="G52" i="13" s="1"/>
  <c r="F51" i="11"/>
  <c r="G50" i="13" s="1"/>
  <c r="E51" i="11"/>
  <c r="H50" i="19" s="1"/>
  <c r="F50" i="11"/>
  <c r="G49" i="19" s="1"/>
  <c r="E50" i="11"/>
  <c r="F49" i="11"/>
  <c r="G48" i="13" s="1"/>
  <c r="E49" i="11"/>
  <c r="H48" i="19" s="1"/>
  <c r="F48" i="11"/>
  <c r="G47" i="19" s="1"/>
  <c r="E48" i="11"/>
  <c r="H47" i="19" s="1"/>
  <c r="F47" i="11"/>
  <c r="G46" i="19" s="1"/>
  <c r="E47" i="11"/>
  <c r="H46" i="19" s="1"/>
  <c r="F46" i="11"/>
  <c r="G45" i="19" s="1"/>
  <c r="E46" i="11"/>
  <c r="F45" i="11"/>
  <c r="E45" i="11"/>
  <c r="H44" i="19" s="1"/>
  <c r="F44" i="11"/>
  <c r="G43" i="19" s="1"/>
  <c r="E44" i="11"/>
  <c r="H43" i="19" s="1"/>
  <c r="F43" i="11"/>
  <c r="G42" i="13" s="1"/>
  <c r="E43" i="11"/>
  <c r="H42" i="19" s="1"/>
  <c r="F42" i="11"/>
  <c r="G41" i="19" s="1"/>
  <c r="E42" i="11"/>
  <c r="F41" i="11"/>
  <c r="G40" i="13" s="1"/>
  <c r="E41" i="11"/>
  <c r="H40" i="19" s="1"/>
  <c r="F40" i="11"/>
  <c r="G39" i="19" s="1"/>
  <c r="E40" i="11"/>
  <c r="H39" i="19" s="1"/>
  <c r="F39" i="11"/>
  <c r="G38" i="19" s="1"/>
  <c r="E39" i="11"/>
  <c r="F38" i="11"/>
  <c r="G37" i="19" s="1"/>
  <c r="E38" i="11"/>
  <c r="H37" i="13" s="1"/>
  <c r="F37" i="11"/>
  <c r="E37" i="11"/>
  <c r="H36" i="19" s="1"/>
  <c r="F36" i="11"/>
  <c r="G35" i="19" s="1"/>
  <c r="E36" i="11"/>
  <c r="F33" i="11"/>
  <c r="G32" i="13" s="1"/>
  <c r="E33" i="11"/>
  <c r="H32" i="13" s="1"/>
  <c r="F32" i="11"/>
  <c r="G31" i="19" s="1"/>
  <c r="E32" i="11"/>
  <c r="F31" i="11"/>
  <c r="G30" i="19" s="1"/>
  <c r="E31" i="11"/>
  <c r="H30" i="19" s="1"/>
  <c r="F30" i="11"/>
  <c r="G29" i="19" s="1"/>
  <c r="E30" i="11"/>
  <c r="F29" i="11"/>
  <c r="G28" i="19" s="1"/>
  <c r="E29" i="11"/>
  <c r="H28" i="19" s="1"/>
  <c r="F28" i="11"/>
  <c r="G27" i="19" s="1"/>
  <c r="E28" i="11"/>
  <c r="F27" i="11"/>
  <c r="G26" i="13" s="1"/>
  <c r="F25" i="11"/>
  <c r="G24" i="13" s="1"/>
  <c r="E25" i="11"/>
  <c r="H24" i="13" s="1"/>
  <c r="F24" i="11"/>
  <c r="G23" i="19" s="1"/>
  <c r="E24" i="11"/>
  <c r="H23" i="19" s="1"/>
  <c r="F23" i="11"/>
  <c r="G22" i="13" s="1"/>
  <c r="E23" i="11"/>
  <c r="H22" i="19" s="1"/>
  <c r="F22" i="11"/>
  <c r="E22" i="11"/>
  <c r="H21" i="13" s="1"/>
  <c r="F21" i="11"/>
  <c r="G20" i="13" s="1"/>
  <c r="E21" i="11"/>
  <c r="H20" i="13" s="1"/>
  <c r="F19" i="11"/>
  <c r="G18" i="19" s="1"/>
  <c r="E19" i="11"/>
  <c r="H18" i="19" s="1"/>
  <c r="F18" i="11"/>
  <c r="G17" i="19" s="1"/>
  <c r="E18" i="11"/>
  <c r="H17" i="19" s="1"/>
  <c r="F17" i="11"/>
  <c r="G16" i="13" s="1"/>
  <c r="E17" i="11"/>
  <c r="H16" i="19" s="1"/>
  <c r="F16" i="11"/>
  <c r="G15" i="19" s="1"/>
  <c r="E16" i="11"/>
  <c r="H15" i="19" s="1"/>
  <c r="F15" i="11"/>
  <c r="G14" i="19" s="1"/>
  <c r="E15" i="11"/>
  <c r="H14" i="19" s="1"/>
  <c r="F14" i="11"/>
  <c r="G13" i="19" s="1"/>
  <c r="E14" i="11"/>
  <c r="H13" i="13" s="1"/>
  <c r="F13" i="11"/>
  <c r="E13" i="11"/>
  <c r="H12" i="19" s="1"/>
  <c r="F12" i="11"/>
  <c r="G11" i="19" s="1"/>
  <c r="E12" i="11"/>
  <c r="H11" i="13" s="1"/>
  <c r="F11" i="11"/>
  <c r="G10" i="19" s="1"/>
  <c r="E11" i="11"/>
  <c r="H10" i="19" s="1"/>
  <c r="F10" i="11"/>
  <c r="G9" i="19" s="1"/>
  <c r="E10" i="11"/>
  <c r="H9" i="19" s="1"/>
  <c r="F9" i="11"/>
  <c r="G8" i="13" s="1"/>
  <c r="E9" i="11"/>
  <c r="H8" i="19" s="1"/>
  <c r="E8" i="11"/>
  <c r="H7" i="13" s="1"/>
  <c r="F96" i="10"/>
  <c r="K95" i="19" s="1"/>
  <c r="E96" i="10"/>
  <c r="L95" i="13" s="1"/>
  <c r="F94" i="10"/>
  <c r="K93" i="13" s="1"/>
  <c r="E94" i="10"/>
  <c r="L93" i="13" s="1"/>
  <c r="F93" i="10"/>
  <c r="K92" i="13" s="1"/>
  <c r="E93" i="10"/>
  <c r="L92" i="13" s="1"/>
  <c r="F92" i="10"/>
  <c r="K91" i="19" s="1"/>
  <c r="E92" i="10"/>
  <c r="L91" i="19" s="1"/>
  <c r="F91" i="10"/>
  <c r="K90" i="13" s="1"/>
  <c r="F89" i="10"/>
  <c r="K88" i="13" s="1"/>
  <c r="E89" i="10"/>
  <c r="L88" i="19" s="1"/>
  <c r="F88" i="10"/>
  <c r="K87" i="13" s="1"/>
  <c r="E88" i="10"/>
  <c r="L87" i="19" s="1"/>
  <c r="F87" i="10"/>
  <c r="K86" i="13" s="1"/>
  <c r="E87" i="10"/>
  <c r="L86" i="19" s="1"/>
  <c r="F86" i="10"/>
  <c r="K85" i="19" s="1"/>
  <c r="E86" i="10"/>
  <c r="L85" i="19" s="1"/>
  <c r="F85" i="10"/>
  <c r="E85" i="10"/>
  <c r="L84" i="19" s="1"/>
  <c r="F84" i="10"/>
  <c r="K83" i="19" s="1"/>
  <c r="E84" i="10"/>
  <c r="L83" i="13" s="1"/>
  <c r="F83" i="10"/>
  <c r="K82" i="13" s="1"/>
  <c r="E83" i="10"/>
  <c r="L82" i="13" s="1"/>
  <c r="F82" i="10"/>
  <c r="K81" i="13" s="1"/>
  <c r="E82" i="10"/>
  <c r="L81" i="19" s="1"/>
  <c r="F81" i="10"/>
  <c r="K80" i="13" s="1"/>
  <c r="E81" i="10"/>
  <c r="L80" i="19" s="1"/>
  <c r="F80" i="10"/>
  <c r="K79" i="13" s="1"/>
  <c r="E80" i="10"/>
  <c r="L79" i="19" s="1"/>
  <c r="F79" i="10"/>
  <c r="K78" i="13" s="1"/>
  <c r="F77" i="10"/>
  <c r="K76" i="13" s="1"/>
  <c r="E77" i="10"/>
  <c r="L76" i="13" s="1"/>
  <c r="F76" i="10"/>
  <c r="K75" i="19" s="1"/>
  <c r="E76" i="10"/>
  <c r="L75" i="13" s="1"/>
  <c r="F75" i="10"/>
  <c r="K74" i="13" s="1"/>
  <c r="E75" i="10"/>
  <c r="L74" i="13" s="1"/>
  <c r="F74" i="10"/>
  <c r="K73" i="13" s="1"/>
  <c r="E74" i="10"/>
  <c r="L73" i="19" s="1"/>
  <c r="F73" i="10"/>
  <c r="K72" i="13" s="1"/>
  <c r="E73" i="10"/>
  <c r="L72" i="13" s="1"/>
  <c r="F72" i="10"/>
  <c r="K71" i="19" s="1"/>
  <c r="E72" i="10"/>
  <c r="L71" i="13" s="1"/>
  <c r="F71" i="10"/>
  <c r="K70" i="13" s="1"/>
  <c r="E71" i="10"/>
  <c r="L70" i="13" s="1"/>
  <c r="F70" i="10"/>
  <c r="K69" i="19" s="1"/>
  <c r="E70" i="10"/>
  <c r="L69" i="13" s="1"/>
  <c r="F69" i="10"/>
  <c r="K68" i="13" s="1"/>
  <c r="E69" i="10"/>
  <c r="L68" i="13" s="1"/>
  <c r="F68" i="10"/>
  <c r="K67" i="19" s="1"/>
  <c r="E68" i="10"/>
  <c r="L67" i="13" s="1"/>
  <c r="F67" i="10"/>
  <c r="E67" i="10"/>
  <c r="L66" i="13" s="1"/>
  <c r="F65" i="10"/>
  <c r="K64" i="13" s="1"/>
  <c r="E65" i="10"/>
  <c r="L64" i="19" s="1"/>
  <c r="F64" i="10"/>
  <c r="K63" i="13" s="1"/>
  <c r="E64" i="10"/>
  <c r="L63" i="13" s="1"/>
  <c r="F63" i="10"/>
  <c r="K62" i="19" s="1"/>
  <c r="E63" i="10"/>
  <c r="L62" i="13" s="1"/>
  <c r="F62" i="10"/>
  <c r="K61" i="13" s="1"/>
  <c r="E62" i="10"/>
  <c r="L61" i="13" s="1"/>
  <c r="F60" i="10"/>
  <c r="K59" i="13" s="1"/>
  <c r="E60" i="10"/>
  <c r="L59" i="13" s="1"/>
  <c r="F59" i="10"/>
  <c r="K58" i="19" s="1"/>
  <c r="E59" i="10"/>
  <c r="L58" i="19" s="1"/>
  <c r="F58" i="10"/>
  <c r="K57" i="13" s="1"/>
  <c r="E58" i="10"/>
  <c r="L57" i="13" s="1"/>
  <c r="F57" i="10"/>
  <c r="K56" i="19" s="1"/>
  <c r="E57" i="10"/>
  <c r="L56" i="19" s="1"/>
  <c r="F56" i="10"/>
  <c r="K55" i="13" s="1"/>
  <c r="E56" i="10"/>
  <c r="L55" i="13" s="1"/>
  <c r="F55" i="10"/>
  <c r="K54" i="13" s="1"/>
  <c r="E55" i="10"/>
  <c r="L54" i="13" s="1"/>
  <c r="F54" i="10"/>
  <c r="K53" i="13" s="1"/>
  <c r="E54" i="10"/>
  <c r="F53" i="10"/>
  <c r="K52" i="13" s="1"/>
  <c r="F51" i="10"/>
  <c r="K50" i="19" s="1"/>
  <c r="E51" i="10"/>
  <c r="L50" i="19" s="1"/>
  <c r="F50" i="10"/>
  <c r="K49" i="13" s="1"/>
  <c r="E50" i="10"/>
  <c r="L49" i="13" s="1"/>
  <c r="F49" i="10"/>
  <c r="K48" i="19" s="1"/>
  <c r="E49" i="10"/>
  <c r="L48" i="19" s="1"/>
  <c r="F48" i="10"/>
  <c r="K47" i="13" s="1"/>
  <c r="E48" i="10"/>
  <c r="L47" i="19" s="1"/>
  <c r="F47" i="10"/>
  <c r="K46" i="19" s="1"/>
  <c r="E47" i="10"/>
  <c r="L46" i="19" s="1"/>
  <c r="F46" i="10"/>
  <c r="K45" i="13" s="1"/>
  <c r="E46" i="10"/>
  <c r="L45" i="19" s="1"/>
  <c r="F45" i="10"/>
  <c r="K44" i="19" s="1"/>
  <c r="E45" i="10"/>
  <c r="L44" i="19" s="1"/>
  <c r="F44" i="10"/>
  <c r="K43" i="13" s="1"/>
  <c r="E44" i="10"/>
  <c r="L43" i="19" s="1"/>
  <c r="F43" i="10"/>
  <c r="K42" i="19" s="1"/>
  <c r="E43" i="10"/>
  <c r="L42" i="19" s="1"/>
  <c r="F42" i="10"/>
  <c r="K41" i="13" s="1"/>
  <c r="E42" i="10"/>
  <c r="L41" i="13" s="1"/>
  <c r="F41" i="10"/>
  <c r="K40" i="19" s="1"/>
  <c r="E41" i="10"/>
  <c r="L40" i="19" s="1"/>
  <c r="F40" i="10"/>
  <c r="K39" i="13" s="1"/>
  <c r="E40" i="10"/>
  <c r="L39" i="19" s="1"/>
  <c r="F39" i="10"/>
  <c r="E39" i="10"/>
  <c r="L38" i="19" s="1"/>
  <c r="F38" i="10"/>
  <c r="K37" i="13" s="1"/>
  <c r="E38" i="10"/>
  <c r="L37" i="19" s="1"/>
  <c r="F37" i="10"/>
  <c r="K36" i="13" s="1"/>
  <c r="E37" i="10"/>
  <c r="L36" i="19" s="1"/>
  <c r="F36" i="10"/>
  <c r="E36" i="10"/>
  <c r="L35" i="19" s="1"/>
  <c r="F33" i="10"/>
  <c r="K32" i="13" s="1"/>
  <c r="E33" i="10"/>
  <c r="L32" i="13" s="1"/>
  <c r="F32" i="10"/>
  <c r="E32" i="10"/>
  <c r="L31" i="13" s="1"/>
  <c r="F31" i="10"/>
  <c r="K30" i="13" s="1"/>
  <c r="E31" i="10"/>
  <c r="L30" i="13" s="1"/>
  <c r="F30" i="10"/>
  <c r="E30" i="10"/>
  <c r="L29" i="19" s="1"/>
  <c r="F29" i="10"/>
  <c r="K28" i="19" s="1"/>
  <c r="E29" i="10"/>
  <c r="L28" i="13" s="1"/>
  <c r="F28" i="10"/>
  <c r="E28" i="10"/>
  <c r="L27" i="19" s="1"/>
  <c r="F27" i="10"/>
  <c r="K26" i="13" s="1"/>
  <c r="F25" i="10"/>
  <c r="K24" i="13" s="1"/>
  <c r="E25" i="10"/>
  <c r="L24" i="13" s="1"/>
  <c r="F24" i="10"/>
  <c r="K23" i="13" s="1"/>
  <c r="E24" i="10"/>
  <c r="L23" i="13" s="1"/>
  <c r="F23" i="10"/>
  <c r="K22" i="19" s="1"/>
  <c r="E23" i="10"/>
  <c r="F22" i="10"/>
  <c r="K21" i="19" s="1"/>
  <c r="E22" i="10"/>
  <c r="L21" i="13" s="1"/>
  <c r="F21" i="10"/>
  <c r="K20" i="13" s="1"/>
  <c r="E21" i="10"/>
  <c r="L20" i="13" s="1"/>
  <c r="F19" i="10"/>
  <c r="E19" i="10"/>
  <c r="F18" i="10"/>
  <c r="K17" i="13" s="1"/>
  <c r="E18" i="10"/>
  <c r="L17" i="19" s="1"/>
  <c r="F17" i="10"/>
  <c r="K16" i="19" s="1"/>
  <c r="E17" i="10"/>
  <c r="F16" i="10"/>
  <c r="K15" i="19" s="1"/>
  <c r="E16" i="10"/>
  <c r="L15" i="19" s="1"/>
  <c r="F15" i="10"/>
  <c r="E15" i="10"/>
  <c r="F14" i="10"/>
  <c r="K13" i="19" s="1"/>
  <c r="E14" i="10"/>
  <c r="F13" i="10"/>
  <c r="K12" i="19" s="1"/>
  <c r="E13" i="10"/>
  <c r="F12" i="10"/>
  <c r="K11" i="19" s="1"/>
  <c r="E12" i="10"/>
  <c r="L11" i="19" s="1"/>
  <c r="F11" i="10"/>
  <c r="K10" i="19" s="1"/>
  <c r="E11" i="10"/>
  <c r="F10" i="10"/>
  <c r="K9" i="13" s="1"/>
  <c r="E10" i="10"/>
  <c r="L9" i="19" s="1"/>
  <c r="F9" i="10"/>
  <c r="K8" i="19" s="1"/>
  <c r="E9" i="10"/>
  <c r="E8" i="10"/>
  <c r="L7" i="13" s="1"/>
  <c r="F96" i="9"/>
  <c r="O95" i="13" s="1"/>
  <c r="E96" i="9"/>
  <c r="P95" i="13" s="1"/>
  <c r="F94" i="9"/>
  <c r="O93" i="13" s="1"/>
  <c r="E94" i="9"/>
  <c r="P93" i="13" s="1"/>
  <c r="F93" i="9"/>
  <c r="O92" i="13" s="1"/>
  <c r="E93" i="9"/>
  <c r="P92" i="13" s="1"/>
  <c r="F92" i="9"/>
  <c r="O91" i="13" s="1"/>
  <c r="E92" i="9"/>
  <c r="P91" i="13" s="1"/>
  <c r="E91" i="9"/>
  <c r="P90" i="13" s="1"/>
  <c r="F89" i="9"/>
  <c r="O88" i="13" s="1"/>
  <c r="E89" i="9"/>
  <c r="P88" i="13" s="1"/>
  <c r="F88" i="9"/>
  <c r="O87" i="13" s="1"/>
  <c r="E88" i="9"/>
  <c r="P87" i="13" s="1"/>
  <c r="F87" i="9"/>
  <c r="O86" i="13" s="1"/>
  <c r="E87" i="9"/>
  <c r="P86" i="13" s="1"/>
  <c r="F86" i="9"/>
  <c r="O85" i="13" s="1"/>
  <c r="E86" i="9"/>
  <c r="P85" i="13" s="1"/>
  <c r="F85" i="9"/>
  <c r="O84" i="13" s="1"/>
  <c r="E85" i="9"/>
  <c r="P84" i="13" s="1"/>
  <c r="F84" i="9"/>
  <c r="O83" i="13" s="1"/>
  <c r="E84" i="9"/>
  <c r="P83" i="13" s="1"/>
  <c r="F83" i="9"/>
  <c r="O82" i="13" s="1"/>
  <c r="E83" i="9"/>
  <c r="P82" i="13" s="1"/>
  <c r="F82" i="9"/>
  <c r="O81" i="13" s="1"/>
  <c r="E82" i="9"/>
  <c r="F81" i="9"/>
  <c r="E81" i="9"/>
  <c r="P80" i="13" s="1"/>
  <c r="F80" i="9"/>
  <c r="O79" i="13" s="1"/>
  <c r="E80" i="9"/>
  <c r="P79" i="13" s="1"/>
  <c r="F79" i="9"/>
  <c r="O78" i="13" s="1"/>
  <c r="F77" i="9"/>
  <c r="O76" i="13" s="1"/>
  <c r="E77" i="9"/>
  <c r="P76" i="13" s="1"/>
  <c r="F76" i="9"/>
  <c r="E76" i="9"/>
  <c r="P75" i="13" s="1"/>
  <c r="F75" i="9"/>
  <c r="O74" i="13" s="1"/>
  <c r="E75" i="9"/>
  <c r="P74" i="13" s="1"/>
  <c r="F74" i="9"/>
  <c r="O73" i="13" s="1"/>
  <c r="E74" i="9"/>
  <c r="P73" i="13" s="1"/>
  <c r="F73" i="9"/>
  <c r="O72" i="13" s="1"/>
  <c r="E73" i="9"/>
  <c r="P72" i="13" s="1"/>
  <c r="F72" i="9"/>
  <c r="E72" i="9"/>
  <c r="P71" i="13" s="1"/>
  <c r="F71" i="9"/>
  <c r="O70" i="13" s="1"/>
  <c r="E71" i="9"/>
  <c r="P70" i="13" s="1"/>
  <c r="F70" i="9"/>
  <c r="O69" i="13" s="1"/>
  <c r="E70" i="9"/>
  <c r="P69" i="13" s="1"/>
  <c r="F69" i="9"/>
  <c r="O68" i="13" s="1"/>
  <c r="E69" i="9"/>
  <c r="P68" i="13" s="1"/>
  <c r="F68" i="9"/>
  <c r="E68" i="9"/>
  <c r="P67" i="13" s="1"/>
  <c r="F67" i="9"/>
  <c r="O66" i="13" s="1"/>
  <c r="E67" i="9"/>
  <c r="P66" i="13" s="1"/>
  <c r="F65" i="9"/>
  <c r="O64" i="13" s="1"/>
  <c r="E65" i="9"/>
  <c r="P64" i="13" s="1"/>
  <c r="F64" i="9"/>
  <c r="O63" i="13" s="1"/>
  <c r="E64" i="9"/>
  <c r="P63" i="13" s="1"/>
  <c r="F63" i="9"/>
  <c r="E63" i="9"/>
  <c r="P62" i="13" s="1"/>
  <c r="F62" i="9"/>
  <c r="O61" i="13" s="1"/>
  <c r="E62" i="9"/>
  <c r="P61" i="13" s="1"/>
  <c r="F60" i="9"/>
  <c r="O59" i="13" s="1"/>
  <c r="E60" i="9"/>
  <c r="P59" i="13" s="1"/>
  <c r="F59" i="9"/>
  <c r="O58" i="13" s="1"/>
  <c r="E59" i="9"/>
  <c r="P58" i="13" s="1"/>
  <c r="F58" i="9"/>
  <c r="E58" i="9"/>
  <c r="F57" i="9"/>
  <c r="O56" i="13" s="1"/>
  <c r="E57" i="9"/>
  <c r="P56" i="13" s="1"/>
  <c r="F56" i="9"/>
  <c r="O55" i="13" s="1"/>
  <c r="E56" i="9"/>
  <c r="P55" i="13" s="1"/>
  <c r="F55" i="9"/>
  <c r="O54" i="13" s="1"/>
  <c r="E55" i="9"/>
  <c r="P54" i="13" s="1"/>
  <c r="F54" i="9"/>
  <c r="O53" i="13" s="1"/>
  <c r="E54" i="9"/>
  <c r="P53" i="13" s="1"/>
  <c r="F53" i="9"/>
  <c r="O52" i="13" s="1"/>
  <c r="F51" i="9"/>
  <c r="O50" i="13" s="1"/>
  <c r="E51" i="9"/>
  <c r="P50" i="19" s="1"/>
  <c r="F50" i="9"/>
  <c r="O49" i="13" s="1"/>
  <c r="E50" i="9"/>
  <c r="P49" i="19" s="1"/>
  <c r="F49" i="9"/>
  <c r="O48" i="13" s="1"/>
  <c r="E49" i="9"/>
  <c r="F48" i="9"/>
  <c r="E48" i="9"/>
  <c r="P47" i="19" s="1"/>
  <c r="F47" i="9"/>
  <c r="O46" i="13" s="1"/>
  <c r="E47" i="9"/>
  <c r="P46" i="19" s="1"/>
  <c r="F46" i="9"/>
  <c r="O45" i="13" s="1"/>
  <c r="E46" i="9"/>
  <c r="P45" i="19" s="1"/>
  <c r="F45" i="9"/>
  <c r="O44" i="13" s="1"/>
  <c r="E45" i="9"/>
  <c r="P44" i="19" s="1"/>
  <c r="F44" i="9"/>
  <c r="O43" i="13" s="1"/>
  <c r="E44" i="9"/>
  <c r="P43" i="19" s="1"/>
  <c r="F43" i="9"/>
  <c r="O42" i="13" s="1"/>
  <c r="E43" i="9"/>
  <c r="P42" i="19" s="1"/>
  <c r="F42" i="9"/>
  <c r="O41" i="13" s="1"/>
  <c r="E42" i="9"/>
  <c r="P41" i="19" s="1"/>
  <c r="F41" i="9"/>
  <c r="O40" i="13" s="1"/>
  <c r="E41" i="9"/>
  <c r="F40" i="9"/>
  <c r="E40" i="9"/>
  <c r="P39" i="19" s="1"/>
  <c r="F39" i="9"/>
  <c r="O38" i="13" s="1"/>
  <c r="E39" i="9"/>
  <c r="P38" i="19" s="1"/>
  <c r="F38" i="9"/>
  <c r="O37" i="13" s="1"/>
  <c r="E38" i="9"/>
  <c r="P37" i="19" s="1"/>
  <c r="F37" i="9"/>
  <c r="O36" i="13" s="1"/>
  <c r="E37" i="9"/>
  <c r="P36" i="19" s="1"/>
  <c r="F36" i="9"/>
  <c r="O35" i="13" s="1"/>
  <c r="E36" i="9"/>
  <c r="P35" i="19" s="1"/>
  <c r="F33" i="9"/>
  <c r="O32" i="13" s="1"/>
  <c r="E33" i="9"/>
  <c r="P32" i="13" s="1"/>
  <c r="F32" i="9"/>
  <c r="O31" i="19" s="1"/>
  <c r="E32" i="9"/>
  <c r="P31" i="13" s="1"/>
  <c r="F31" i="9"/>
  <c r="O30" i="19" s="1"/>
  <c r="E31" i="9"/>
  <c r="F30" i="9"/>
  <c r="E30" i="9"/>
  <c r="P29" i="13" s="1"/>
  <c r="F29" i="9"/>
  <c r="O28" i="19" s="1"/>
  <c r="E29" i="9"/>
  <c r="P28" i="13" s="1"/>
  <c r="F28" i="9"/>
  <c r="O27" i="19" s="1"/>
  <c r="E28" i="9"/>
  <c r="P27" i="13" s="1"/>
  <c r="E27" i="9"/>
  <c r="P26" i="13" s="1"/>
  <c r="F25" i="9"/>
  <c r="O24" i="13" s="1"/>
  <c r="E25" i="9"/>
  <c r="P24" i="13" s="1"/>
  <c r="F24" i="9"/>
  <c r="O23" i="13" s="1"/>
  <c r="E24" i="9"/>
  <c r="P23" i="19" s="1"/>
  <c r="F23" i="9"/>
  <c r="O22" i="13" s="1"/>
  <c r="E23" i="9"/>
  <c r="P22" i="19" s="1"/>
  <c r="F22" i="9"/>
  <c r="O21" i="13" s="1"/>
  <c r="E22" i="9"/>
  <c r="P21" i="19" s="1"/>
  <c r="F21" i="9"/>
  <c r="O20" i="13" s="1"/>
  <c r="E21" i="9"/>
  <c r="P20" i="13" s="1"/>
  <c r="F19" i="9"/>
  <c r="O18" i="13" s="1"/>
  <c r="E19" i="9"/>
  <c r="P18" i="19" s="1"/>
  <c r="F18" i="9"/>
  <c r="O17" i="13" s="1"/>
  <c r="E18" i="9"/>
  <c r="P17" i="19" s="1"/>
  <c r="F17" i="9"/>
  <c r="O16" i="13" s="1"/>
  <c r="E17" i="9"/>
  <c r="P16" i="19" s="1"/>
  <c r="F16" i="9"/>
  <c r="E16" i="9"/>
  <c r="F15" i="9"/>
  <c r="O14" i="13" s="1"/>
  <c r="E15" i="9"/>
  <c r="P14" i="19" s="1"/>
  <c r="F14" i="9"/>
  <c r="O13" i="13" s="1"/>
  <c r="E14" i="9"/>
  <c r="P13" i="19" s="1"/>
  <c r="F13" i="9"/>
  <c r="O12" i="13" s="1"/>
  <c r="E13" i="9"/>
  <c r="P12" i="19" s="1"/>
  <c r="F12" i="9"/>
  <c r="E12" i="9"/>
  <c r="P11" i="19" s="1"/>
  <c r="F11" i="9"/>
  <c r="O10" i="13" s="1"/>
  <c r="E11" i="9"/>
  <c r="P10" i="19" s="1"/>
  <c r="F10" i="9"/>
  <c r="O9" i="13" s="1"/>
  <c r="E10" i="9"/>
  <c r="P9" i="19" s="1"/>
  <c r="F9" i="9"/>
  <c r="O8" i="13" s="1"/>
  <c r="E9" i="9"/>
  <c r="P8" i="19" s="1"/>
  <c r="F8" i="9"/>
  <c r="O7" i="13" s="1"/>
  <c r="F96" i="8"/>
  <c r="S95" i="13" s="1"/>
  <c r="E96" i="8"/>
  <c r="T95" i="13" s="1"/>
  <c r="F94" i="8"/>
  <c r="S93" i="13" s="1"/>
  <c r="E94" i="8"/>
  <c r="T93" i="13" s="1"/>
  <c r="F93" i="8"/>
  <c r="S92" i="19" s="1"/>
  <c r="E93" i="8"/>
  <c r="T92" i="19" s="1"/>
  <c r="F92" i="8"/>
  <c r="S91" i="19" s="1"/>
  <c r="E92" i="8"/>
  <c r="T91" i="13" s="1"/>
  <c r="F91" i="8"/>
  <c r="S90" i="13" s="1"/>
  <c r="F89" i="8"/>
  <c r="S88" i="13" s="1"/>
  <c r="E89" i="8"/>
  <c r="T88" i="19" s="1"/>
  <c r="F88" i="8"/>
  <c r="S87" i="13" s="1"/>
  <c r="E88" i="8"/>
  <c r="T87" i="19" s="1"/>
  <c r="F87" i="8"/>
  <c r="S86" i="19" s="1"/>
  <c r="E87" i="8"/>
  <c r="T86" i="19" s="1"/>
  <c r="F86" i="8"/>
  <c r="E86" i="8"/>
  <c r="T85" i="13" s="1"/>
  <c r="F85" i="8"/>
  <c r="S84" i="19" s="1"/>
  <c r="E85" i="8"/>
  <c r="T84" i="19" s="1"/>
  <c r="F84" i="8"/>
  <c r="S83" i="13" s="1"/>
  <c r="E84" i="8"/>
  <c r="T83" i="19" s="1"/>
  <c r="F83" i="8"/>
  <c r="S82" i="13" s="1"/>
  <c r="E83" i="8"/>
  <c r="T82" i="13" s="1"/>
  <c r="F82" i="8"/>
  <c r="E82" i="8"/>
  <c r="F81" i="8"/>
  <c r="S80" i="13" s="1"/>
  <c r="E81" i="8"/>
  <c r="T80" i="19" s="1"/>
  <c r="F80" i="8"/>
  <c r="S79" i="19" s="1"/>
  <c r="E80" i="8"/>
  <c r="T79" i="13" s="1"/>
  <c r="E79" i="8"/>
  <c r="T78" i="13" s="1"/>
  <c r="F77" i="8"/>
  <c r="S76" i="13" s="1"/>
  <c r="E77" i="8"/>
  <c r="T76" i="13" s="1"/>
  <c r="F76" i="8"/>
  <c r="S75" i="19" s="1"/>
  <c r="E76" i="8"/>
  <c r="T75" i="13" s="1"/>
  <c r="F75" i="8"/>
  <c r="S74" i="19" s="1"/>
  <c r="E75" i="8"/>
  <c r="T74" i="19" s="1"/>
  <c r="F74" i="8"/>
  <c r="S73" i="19" s="1"/>
  <c r="E74" i="8"/>
  <c r="F73" i="8"/>
  <c r="S72" i="19" s="1"/>
  <c r="E73" i="8"/>
  <c r="T72" i="13" s="1"/>
  <c r="F72" i="8"/>
  <c r="S71" i="19" s="1"/>
  <c r="E72" i="8"/>
  <c r="F71" i="8"/>
  <c r="S70" i="19" s="1"/>
  <c r="E71" i="8"/>
  <c r="T70" i="13" s="1"/>
  <c r="F70" i="8"/>
  <c r="S69" i="13" s="1"/>
  <c r="E70" i="8"/>
  <c r="T69" i="13" s="1"/>
  <c r="F69" i="8"/>
  <c r="S68" i="19" s="1"/>
  <c r="E69" i="8"/>
  <c r="T68" i="19" s="1"/>
  <c r="F68" i="8"/>
  <c r="S67" i="19" s="1"/>
  <c r="E68" i="8"/>
  <c r="F67" i="8"/>
  <c r="S66" i="19" s="1"/>
  <c r="E67" i="8"/>
  <c r="T66" i="19" s="1"/>
  <c r="F65" i="8"/>
  <c r="S64" i="19" s="1"/>
  <c r="E65" i="8"/>
  <c r="T64" i="13" s="1"/>
  <c r="F64" i="8"/>
  <c r="S63" i="19" s="1"/>
  <c r="E64" i="8"/>
  <c r="F63" i="8"/>
  <c r="S62" i="19" s="1"/>
  <c r="E63" i="8"/>
  <c r="T62" i="13" s="1"/>
  <c r="F62" i="8"/>
  <c r="S61" i="19" s="1"/>
  <c r="E62" i="8"/>
  <c r="T61" i="13" s="1"/>
  <c r="F60" i="8"/>
  <c r="S59" i="13" s="1"/>
  <c r="E60" i="8"/>
  <c r="T59" i="13" s="1"/>
  <c r="F59" i="8"/>
  <c r="S58" i="13" s="1"/>
  <c r="E59" i="8"/>
  <c r="T58" i="13" s="1"/>
  <c r="F58" i="8"/>
  <c r="S57" i="19" s="1"/>
  <c r="E58" i="8"/>
  <c r="T57" i="13" s="1"/>
  <c r="F57" i="8"/>
  <c r="S56" i="19" s="1"/>
  <c r="E57" i="8"/>
  <c r="T56" i="13" s="1"/>
  <c r="F56" i="8"/>
  <c r="S55" i="19" s="1"/>
  <c r="E56" i="8"/>
  <c r="T55" i="13" s="1"/>
  <c r="F55" i="8"/>
  <c r="S54" i="19" s="1"/>
  <c r="E55" i="8"/>
  <c r="T54" i="13" s="1"/>
  <c r="F54" i="8"/>
  <c r="S53" i="19" s="1"/>
  <c r="E54" i="8"/>
  <c r="T53" i="13" s="1"/>
  <c r="F53" i="8"/>
  <c r="S52" i="13" s="1"/>
  <c r="F51" i="8"/>
  <c r="S50" i="13" s="1"/>
  <c r="E51" i="8"/>
  <c r="T50" i="13" s="1"/>
  <c r="F50" i="8"/>
  <c r="S49" i="13" s="1"/>
  <c r="E50" i="8"/>
  <c r="T49" i="19" s="1"/>
  <c r="F49" i="8"/>
  <c r="S48" i="13" s="1"/>
  <c r="E49" i="8"/>
  <c r="T48" i="13" s="1"/>
  <c r="F48" i="8"/>
  <c r="S47" i="19" s="1"/>
  <c r="E48" i="8"/>
  <c r="T47" i="19" s="1"/>
  <c r="F47" i="8"/>
  <c r="S46" i="13" s="1"/>
  <c r="E47" i="8"/>
  <c r="T46" i="13" s="1"/>
  <c r="F46" i="8"/>
  <c r="S45" i="19" s="1"/>
  <c r="E46" i="8"/>
  <c r="T45" i="19" s="1"/>
  <c r="F45" i="8"/>
  <c r="S44" i="13" s="1"/>
  <c r="E45" i="8"/>
  <c r="T44" i="13" s="1"/>
  <c r="F44" i="8"/>
  <c r="S43" i="13" s="1"/>
  <c r="E44" i="8"/>
  <c r="T43" i="19" s="1"/>
  <c r="F43" i="8"/>
  <c r="S42" i="13" s="1"/>
  <c r="E43" i="8"/>
  <c r="T42" i="13" s="1"/>
  <c r="F42" i="8"/>
  <c r="S41" i="13" s="1"/>
  <c r="E42" i="8"/>
  <c r="T41" i="19" s="1"/>
  <c r="F41" i="8"/>
  <c r="S40" i="13" s="1"/>
  <c r="E41" i="8"/>
  <c r="T40" i="13" s="1"/>
  <c r="F40" i="8"/>
  <c r="S39" i="19" s="1"/>
  <c r="E40" i="8"/>
  <c r="T39" i="19" s="1"/>
  <c r="F39" i="8"/>
  <c r="S38" i="13" s="1"/>
  <c r="E39" i="8"/>
  <c r="T38" i="13" s="1"/>
  <c r="F38" i="8"/>
  <c r="S37" i="19" s="1"/>
  <c r="E38" i="8"/>
  <c r="T37" i="19" s="1"/>
  <c r="F37" i="8"/>
  <c r="S36" i="13" s="1"/>
  <c r="E37" i="8"/>
  <c r="T36" i="13" s="1"/>
  <c r="F36" i="8"/>
  <c r="S35" i="19" s="1"/>
  <c r="E36" i="8"/>
  <c r="T35" i="19" s="1"/>
  <c r="F33" i="8"/>
  <c r="S32" i="13" s="1"/>
  <c r="E33" i="8"/>
  <c r="T32" i="13" s="1"/>
  <c r="F32" i="8"/>
  <c r="S31" i="19" s="1"/>
  <c r="E32" i="8"/>
  <c r="T31" i="13" s="1"/>
  <c r="F31" i="8"/>
  <c r="E31" i="8"/>
  <c r="T30" i="19" s="1"/>
  <c r="F30" i="8"/>
  <c r="S29" i="19" s="1"/>
  <c r="E30" i="8"/>
  <c r="T29" i="13" s="1"/>
  <c r="F29" i="8"/>
  <c r="E29" i="8"/>
  <c r="T28" i="13" s="1"/>
  <c r="F28" i="8"/>
  <c r="S27" i="19" s="1"/>
  <c r="E28" i="8"/>
  <c r="T27" i="13" s="1"/>
  <c r="F27" i="8"/>
  <c r="S26" i="13" s="1"/>
  <c r="F25" i="8"/>
  <c r="S24" i="13" s="1"/>
  <c r="E25" i="8"/>
  <c r="T24" i="13" s="1"/>
  <c r="F24" i="8"/>
  <c r="S23" i="13" s="1"/>
  <c r="E24" i="8"/>
  <c r="T23" i="19" s="1"/>
  <c r="F23" i="8"/>
  <c r="S22" i="13" s="1"/>
  <c r="E23" i="8"/>
  <c r="F22" i="8"/>
  <c r="E22" i="8"/>
  <c r="T21" i="19" s="1"/>
  <c r="F21" i="8"/>
  <c r="S20" i="13" s="1"/>
  <c r="E21" i="8"/>
  <c r="T20" i="13" s="1"/>
  <c r="F19" i="8"/>
  <c r="S18" i="13" s="1"/>
  <c r="E19" i="8"/>
  <c r="T18" i="19" s="1"/>
  <c r="F18" i="8"/>
  <c r="S17" i="19" s="1"/>
  <c r="E18" i="8"/>
  <c r="T17" i="19" s="1"/>
  <c r="F17" i="8"/>
  <c r="S16" i="13" s="1"/>
  <c r="E17" i="8"/>
  <c r="T16" i="19" s="1"/>
  <c r="F16" i="8"/>
  <c r="S15" i="13" s="1"/>
  <c r="E16" i="8"/>
  <c r="T15" i="19" s="1"/>
  <c r="F15" i="8"/>
  <c r="S14" i="13" s="1"/>
  <c r="E15" i="8"/>
  <c r="T14" i="19" s="1"/>
  <c r="F14" i="8"/>
  <c r="S13" i="19" s="1"/>
  <c r="E14" i="8"/>
  <c r="T13" i="19" s="1"/>
  <c r="F13" i="8"/>
  <c r="S12" i="13" s="1"/>
  <c r="E13" i="8"/>
  <c r="T12" i="19" s="1"/>
  <c r="F12" i="8"/>
  <c r="S11" i="13" s="1"/>
  <c r="E12" i="8"/>
  <c r="T11" i="19" s="1"/>
  <c r="F11" i="8"/>
  <c r="S10" i="13" s="1"/>
  <c r="E11" i="8"/>
  <c r="T10" i="19" s="1"/>
  <c r="F10" i="8"/>
  <c r="S9" i="19" s="1"/>
  <c r="E10" i="8"/>
  <c r="T9" i="19" s="1"/>
  <c r="F9" i="8"/>
  <c r="E9" i="8"/>
  <c r="T8" i="19" s="1"/>
  <c r="F96" i="7"/>
  <c r="W95" i="13" s="1"/>
  <c r="E96" i="7"/>
  <c r="X95" i="13" s="1"/>
  <c r="F94" i="7"/>
  <c r="W93" i="13" s="1"/>
  <c r="E94" i="7"/>
  <c r="X93" i="13" s="1"/>
  <c r="F93" i="7"/>
  <c r="W92" i="19" s="1"/>
  <c r="E93" i="7"/>
  <c r="F92" i="7"/>
  <c r="E92" i="7"/>
  <c r="X91" i="13" s="1"/>
  <c r="F89" i="7"/>
  <c r="W88" i="19" s="1"/>
  <c r="E89" i="7"/>
  <c r="X88" i="19" s="1"/>
  <c r="F88" i="7"/>
  <c r="E88" i="7"/>
  <c r="X87" i="13" s="1"/>
  <c r="F87" i="7"/>
  <c r="W86" i="13" s="1"/>
  <c r="E87" i="7"/>
  <c r="X86" i="19" s="1"/>
  <c r="F86" i="7"/>
  <c r="E86" i="7"/>
  <c r="X85" i="13" s="1"/>
  <c r="F85" i="7"/>
  <c r="W84" i="19" s="1"/>
  <c r="E85" i="7"/>
  <c r="X84" i="19" s="1"/>
  <c r="F84" i="7"/>
  <c r="E84" i="7"/>
  <c r="X83" i="13" s="1"/>
  <c r="F83" i="7"/>
  <c r="W82" i="13" s="1"/>
  <c r="E83" i="7"/>
  <c r="X82" i="13" s="1"/>
  <c r="F82" i="7"/>
  <c r="E82" i="7"/>
  <c r="F81" i="7"/>
  <c r="E81" i="7"/>
  <c r="X80" i="13" s="1"/>
  <c r="F80" i="7"/>
  <c r="W79" i="19" s="1"/>
  <c r="E80" i="7"/>
  <c r="F77" i="7"/>
  <c r="W76" i="13" s="1"/>
  <c r="E77" i="7"/>
  <c r="X76" i="13" s="1"/>
  <c r="F76" i="7"/>
  <c r="E76" i="7"/>
  <c r="X75" i="13" s="1"/>
  <c r="F75" i="7"/>
  <c r="W74" i="19" s="1"/>
  <c r="E75" i="7"/>
  <c r="X74" i="19" s="1"/>
  <c r="F74" i="7"/>
  <c r="E74" i="7"/>
  <c r="X73" i="19" s="1"/>
  <c r="F73" i="7"/>
  <c r="W72" i="13" s="1"/>
  <c r="E73" i="7"/>
  <c r="X72" i="19" s="1"/>
  <c r="F72" i="7"/>
  <c r="E72" i="7"/>
  <c r="X71" i="13" s="1"/>
  <c r="F71" i="7"/>
  <c r="W70" i="19" s="1"/>
  <c r="E71" i="7"/>
  <c r="X70" i="19" s="1"/>
  <c r="F70" i="7"/>
  <c r="E70" i="7"/>
  <c r="X69" i="13" s="1"/>
  <c r="F69" i="7"/>
  <c r="W68" i="13" s="1"/>
  <c r="E69" i="7"/>
  <c r="X68" i="19" s="1"/>
  <c r="F68" i="7"/>
  <c r="E68" i="7"/>
  <c r="X67" i="19" s="1"/>
  <c r="F67" i="7"/>
  <c r="W66" i="13" s="1"/>
  <c r="E67" i="7"/>
  <c r="X66" i="19" s="1"/>
  <c r="F65" i="7"/>
  <c r="E65" i="7"/>
  <c r="X64" i="19" s="1"/>
  <c r="F64" i="7"/>
  <c r="W63" i="13" s="1"/>
  <c r="E64" i="7"/>
  <c r="X63" i="19" s="1"/>
  <c r="F63" i="7"/>
  <c r="E63" i="7"/>
  <c r="X62" i="13" s="1"/>
  <c r="F62" i="7"/>
  <c r="W61" i="13" s="1"/>
  <c r="E62" i="7"/>
  <c r="X61" i="19" s="1"/>
  <c r="F60" i="7"/>
  <c r="W59" i="13" s="1"/>
  <c r="E60" i="7"/>
  <c r="X59" i="13" s="1"/>
  <c r="F59" i="7"/>
  <c r="E59" i="7"/>
  <c r="X58" i="19" s="1"/>
  <c r="F58" i="7"/>
  <c r="E58" i="7"/>
  <c r="X57" i="19" s="1"/>
  <c r="F57" i="7"/>
  <c r="E57" i="7"/>
  <c r="X56" i="19" s="1"/>
  <c r="F56" i="7"/>
  <c r="W55" i="13" s="1"/>
  <c r="E56" i="7"/>
  <c r="X55" i="19" s="1"/>
  <c r="F55" i="7"/>
  <c r="E55" i="7"/>
  <c r="F54" i="7"/>
  <c r="E54" i="7"/>
  <c r="X53" i="19" s="1"/>
  <c r="F53" i="7"/>
  <c r="W52" i="13" s="1"/>
  <c r="F51" i="7"/>
  <c r="W50" i="13" s="1"/>
  <c r="E51" i="7"/>
  <c r="X50" i="19" s="1"/>
  <c r="F50" i="7"/>
  <c r="E50" i="7"/>
  <c r="F49" i="7"/>
  <c r="W48" i="19" s="1"/>
  <c r="E49" i="7"/>
  <c r="X48" i="19" s="1"/>
  <c r="F48" i="7"/>
  <c r="E48" i="7"/>
  <c r="X47" i="13" s="1"/>
  <c r="F47" i="7"/>
  <c r="W46" i="13" s="1"/>
  <c r="E47" i="7"/>
  <c r="X46" i="19" s="1"/>
  <c r="F46" i="7"/>
  <c r="E46" i="7"/>
  <c r="X45" i="19" s="1"/>
  <c r="F45" i="7"/>
  <c r="W44" i="19" s="1"/>
  <c r="E45" i="7"/>
  <c r="X44" i="19" s="1"/>
  <c r="F44" i="7"/>
  <c r="E44" i="7"/>
  <c r="X43" i="13" s="1"/>
  <c r="F43" i="7"/>
  <c r="W42" i="13" s="1"/>
  <c r="E43" i="7"/>
  <c r="X42" i="19" s="1"/>
  <c r="F42" i="7"/>
  <c r="E42" i="7"/>
  <c r="X41" i="13" s="1"/>
  <c r="F41" i="7"/>
  <c r="W40" i="19" s="1"/>
  <c r="E41" i="7"/>
  <c r="X40" i="19" s="1"/>
  <c r="F40" i="7"/>
  <c r="E40" i="7"/>
  <c r="X39" i="13" s="1"/>
  <c r="F39" i="7"/>
  <c r="W38" i="13" s="1"/>
  <c r="E39" i="7"/>
  <c r="X38" i="19" s="1"/>
  <c r="F38" i="7"/>
  <c r="E38" i="7"/>
  <c r="F37" i="7"/>
  <c r="W36" i="19" s="1"/>
  <c r="E37" i="7"/>
  <c r="X36" i="19" s="1"/>
  <c r="F36" i="7"/>
  <c r="E36" i="7"/>
  <c r="X35" i="13" s="1"/>
  <c r="F33" i="7"/>
  <c r="W32" i="13" s="1"/>
  <c r="E33" i="7"/>
  <c r="X32" i="13" s="1"/>
  <c r="F32" i="7"/>
  <c r="W31" i="19" s="1"/>
  <c r="E32" i="7"/>
  <c r="X31" i="13" s="1"/>
  <c r="F31" i="7"/>
  <c r="W30" i="19" s="1"/>
  <c r="E31" i="7"/>
  <c r="F30" i="7"/>
  <c r="W29" i="19" s="1"/>
  <c r="E30" i="7"/>
  <c r="X29" i="19" s="1"/>
  <c r="F29" i="7"/>
  <c r="W28" i="19" s="1"/>
  <c r="E29" i="7"/>
  <c r="X28" i="19" s="1"/>
  <c r="F28" i="7"/>
  <c r="W27" i="19" s="1"/>
  <c r="E28" i="7"/>
  <c r="X27" i="13" s="1"/>
  <c r="F25" i="7"/>
  <c r="W24" i="13" s="1"/>
  <c r="E25" i="7"/>
  <c r="X24" i="13" s="1"/>
  <c r="F24" i="7"/>
  <c r="W23" i="19" s="1"/>
  <c r="E24" i="7"/>
  <c r="X23" i="19" s="1"/>
  <c r="F23" i="7"/>
  <c r="W22" i="13" s="1"/>
  <c r="E23" i="7"/>
  <c r="X22" i="13" s="1"/>
  <c r="F22" i="7"/>
  <c r="W21" i="13" s="1"/>
  <c r="E22" i="7"/>
  <c r="X21" i="19" s="1"/>
  <c r="F21" i="7"/>
  <c r="W20" i="13" s="1"/>
  <c r="E21" i="7"/>
  <c r="X20" i="13" s="1"/>
  <c r="F19" i="7"/>
  <c r="W18" i="13" s="1"/>
  <c r="E19" i="7"/>
  <c r="X18" i="19" s="1"/>
  <c r="F18" i="7"/>
  <c r="W17" i="19" s="1"/>
  <c r="E18" i="7"/>
  <c r="X17" i="13" s="1"/>
  <c r="F17" i="7"/>
  <c r="W16" i="13" s="1"/>
  <c r="E17" i="7"/>
  <c r="X16" i="19" s="1"/>
  <c r="F16" i="7"/>
  <c r="W15" i="13" s="1"/>
  <c r="E16" i="7"/>
  <c r="F15" i="7"/>
  <c r="W14" i="13" s="1"/>
  <c r="E15" i="7"/>
  <c r="X14" i="19" s="1"/>
  <c r="F14" i="7"/>
  <c r="W13" i="19" s="1"/>
  <c r="E14" i="7"/>
  <c r="X13" i="19" s="1"/>
  <c r="F13" i="7"/>
  <c r="W12" i="13" s="1"/>
  <c r="E13" i="7"/>
  <c r="X12" i="13" s="1"/>
  <c r="F12" i="7"/>
  <c r="E12" i="7"/>
  <c r="F11" i="7"/>
  <c r="W10" i="13" s="1"/>
  <c r="E11" i="7"/>
  <c r="X10" i="19" s="1"/>
  <c r="F10" i="7"/>
  <c r="W9" i="19" s="1"/>
  <c r="E10" i="7"/>
  <c r="X9" i="19" s="1"/>
  <c r="F9" i="7"/>
  <c r="W8" i="13" s="1"/>
  <c r="E9" i="7"/>
  <c r="X8" i="13" s="1"/>
  <c r="F96" i="6"/>
  <c r="AA95" i="13" s="1"/>
  <c r="E96" i="6"/>
  <c r="AB95" i="13" s="1"/>
  <c r="F94" i="6"/>
  <c r="AA93" i="13" s="1"/>
  <c r="E94" i="6"/>
  <c r="AB93" i="13" s="1"/>
  <c r="F93" i="6"/>
  <c r="AA92" i="19" s="1"/>
  <c r="E93" i="6"/>
  <c r="AB92" i="19" s="1"/>
  <c r="F92" i="6"/>
  <c r="AA91" i="19" s="1"/>
  <c r="E92" i="6"/>
  <c r="F89" i="6"/>
  <c r="AA88" i="19" s="1"/>
  <c r="E89" i="6"/>
  <c r="AB88" i="13" s="1"/>
  <c r="F88" i="6"/>
  <c r="AA87" i="19" s="1"/>
  <c r="E88" i="6"/>
  <c r="F87" i="6"/>
  <c r="AA86" i="13" s="1"/>
  <c r="E87" i="6"/>
  <c r="AB86" i="13" s="1"/>
  <c r="F86" i="6"/>
  <c r="AA85" i="19" s="1"/>
  <c r="E86" i="6"/>
  <c r="AB85" i="13" s="1"/>
  <c r="F85" i="6"/>
  <c r="AA84" i="19" s="1"/>
  <c r="E85" i="6"/>
  <c r="AB84" i="13" s="1"/>
  <c r="F84" i="6"/>
  <c r="AA83" i="19" s="1"/>
  <c r="E84" i="6"/>
  <c r="F83" i="6"/>
  <c r="AA82" i="13" s="1"/>
  <c r="E83" i="6"/>
  <c r="AB82" i="13" s="1"/>
  <c r="F82" i="6"/>
  <c r="AA81" i="19" s="1"/>
  <c r="E82" i="6"/>
  <c r="AB81" i="13" s="1"/>
  <c r="F81" i="6"/>
  <c r="AA80" i="19" s="1"/>
  <c r="E81" i="6"/>
  <c r="AB80" i="13" s="1"/>
  <c r="F80" i="6"/>
  <c r="AA79" i="13" s="1"/>
  <c r="E80" i="6"/>
  <c r="AB79" i="13" s="1"/>
  <c r="F77" i="6"/>
  <c r="AA76" i="13" s="1"/>
  <c r="E77" i="6"/>
  <c r="AB76" i="13" s="1"/>
  <c r="F76" i="6"/>
  <c r="AA75" i="19" s="1"/>
  <c r="E76" i="6"/>
  <c r="F75" i="6"/>
  <c r="AA74" i="19" s="1"/>
  <c r="E75" i="6"/>
  <c r="F74" i="6"/>
  <c r="AA73" i="19" s="1"/>
  <c r="E74" i="6"/>
  <c r="F73" i="6"/>
  <c r="AA72" i="19" s="1"/>
  <c r="E73" i="6"/>
  <c r="F72" i="6"/>
  <c r="AA71" i="19" s="1"/>
  <c r="E72" i="6"/>
  <c r="AB71" i="19" s="1"/>
  <c r="F71" i="6"/>
  <c r="AA70" i="13" s="1"/>
  <c r="E71" i="6"/>
  <c r="AB70" i="19" s="1"/>
  <c r="F70" i="6"/>
  <c r="AA69" i="19" s="1"/>
  <c r="E70" i="6"/>
  <c r="F69" i="6"/>
  <c r="AA68" i="19" s="1"/>
  <c r="E69" i="6"/>
  <c r="AB68" i="19" s="1"/>
  <c r="F68" i="6"/>
  <c r="AA67" i="19" s="1"/>
  <c r="E68" i="6"/>
  <c r="AB67" i="19" s="1"/>
  <c r="F67" i="6"/>
  <c r="AA66" i="19" s="1"/>
  <c r="E67" i="6"/>
  <c r="F65" i="6"/>
  <c r="AA64" i="19" s="1"/>
  <c r="E65" i="6"/>
  <c r="F64" i="6"/>
  <c r="AA63" i="19" s="1"/>
  <c r="E64" i="6"/>
  <c r="AB63" i="19" s="1"/>
  <c r="F63" i="6"/>
  <c r="AA62" i="19" s="1"/>
  <c r="E63" i="6"/>
  <c r="AB62" i="19" s="1"/>
  <c r="F62" i="6"/>
  <c r="E62" i="6"/>
  <c r="F60" i="6"/>
  <c r="AA59" i="13" s="1"/>
  <c r="E60" i="6"/>
  <c r="AB59" i="13" s="1"/>
  <c r="F59" i="6"/>
  <c r="AA58" i="19" s="1"/>
  <c r="E59" i="6"/>
  <c r="F58" i="6"/>
  <c r="AA57" i="19" s="1"/>
  <c r="E58" i="6"/>
  <c r="AB57" i="19" s="1"/>
  <c r="F57" i="6"/>
  <c r="E57" i="6"/>
  <c r="AB56" i="19" s="1"/>
  <c r="F56" i="6"/>
  <c r="AA55" i="19" s="1"/>
  <c r="E56" i="6"/>
  <c r="AB55" i="19" s="1"/>
  <c r="F55" i="6"/>
  <c r="AA54" i="19" s="1"/>
  <c r="E55" i="6"/>
  <c r="F54" i="6"/>
  <c r="AA53" i="13" s="1"/>
  <c r="E54" i="6"/>
  <c r="AB53" i="19" s="1"/>
  <c r="F51" i="6"/>
  <c r="AA50" i="13" s="1"/>
  <c r="E51" i="6"/>
  <c r="F50" i="6"/>
  <c r="E50" i="6"/>
  <c r="AB49" i="13" s="1"/>
  <c r="F49" i="6"/>
  <c r="E49" i="6"/>
  <c r="AB48" i="13" s="1"/>
  <c r="F48" i="6"/>
  <c r="E48" i="6"/>
  <c r="AB47" i="13" s="1"/>
  <c r="F47" i="6"/>
  <c r="E47" i="6"/>
  <c r="F46" i="6"/>
  <c r="E46" i="6"/>
  <c r="AB45" i="13" s="1"/>
  <c r="F45" i="6"/>
  <c r="AA44" i="13" s="1"/>
  <c r="E45" i="6"/>
  <c r="AB44" i="13" s="1"/>
  <c r="F44" i="6"/>
  <c r="E44" i="6"/>
  <c r="AB43" i="13" s="1"/>
  <c r="F43" i="6"/>
  <c r="E43" i="6"/>
  <c r="F42" i="6"/>
  <c r="E42" i="6"/>
  <c r="AB41" i="13" s="1"/>
  <c r="F41" i="6"/>
  <c r="E41" i="6"/>
  <c r="AB40" i="13" s="1"/>
  <c r="F40" i="6"/>
  <c r="E40" i="6"/>
  <c r="AB39" i="13" s="1"/>
  <c r="F39" i="6"/>
  <c r="E39" i="6"/>
  <c r="F38" i="6"/>
  <c r="E38" i="6"/>
  <c r="AB37" i="13" s="1"/>
  <c r="F37" i="6"/>
  <c r="AA36" i="13" s="1"/>
  <c r="E37" i="6"/>
  <c r="AB36" i="13" s="1"/>
  <c r="F36" i="6"/>
  <c r="E36" i="6"/>
  <c r="AB35" i="13" s="1"/>
  <c r="F33" i="6"/>
  <c r="AA32" i="13" s="1"/>
  <c r="E33" i="6"/>
  <c r="AB32" i="13" s="1"/>
  <c r="F32" i="6"/>
  <c r="AA31" i="19" s="1"/>
  <c r="E32" i="6"/>
  <c r="AB31" i="19" s="1"/>
  <c r="F31" i="6"/>
  <c r="AA30" i="13" s="1"/>
  <c r="E31" i="6"/>
  <c r="AB30" i="19" s="1"/>
  <c r="F30" i="6"/>
  <c r="AA29" i="19" s="1"/>
  <c r="E30" i="6"/>
  <c r="AB29" i="19" s="1"/>
  <c r="F29" i="6"/>
  <c r="AA28" i="13" s="1"/>
  <c r="E29" i="6"/>
  <c r="F28" i="6"/>
  <c r="AA27" i="19" s="1"/>
  <c r="E28" i="6"/>
  <c r="AB27" i="19" s="1"/>
  <c r="F25" i="6"/>
  <c r="AA24" i="13" s="1"/>
  <c r="E25" i="6"/>
  <c r="AB24" i="13" s="1"/>
  <c r="F24" i="6"/>
  <c r="AA23" i="19" s="1"/>
  <c r="E24" i="6"/>
  <c r="AB23" i="13" s="1"/>
  <c r="F23" i="6"/>
  <c r="E23" i="6"/>
  <c r="AB22" i="13" s="1"/>
  <c r="F22" i="6"/>
  <c r="AA21" i="19" s="1"/>
  <c r="E22" i="6"/>
  <c r="F21" i="6"/>
  <c r="AA20" i="13" s="1"/>
  <c r="E21" i="6"/>
  <c r="AB20" i="13" s="1"/>
  <c r="F19" i="6"/>
  <c r="E19" i="6"/>
  <c r="F18" i="6"/>
  <c r="AA17" i="19" s="1"/>
  <c r="E18" i="6"/>
  <c r="AB17" i="13" s="1"/>
  <c r="F17" i="6"/>
  <c r="E17" i="6"/>
  <c r="AB16" i="13" s="1"/>
  <c r="F16" i="6"/>
  <c r="AA15" i="13" s="1"/>
  <c r="E16" i="6"/>
  <c r="F15" i="6"/>
  <c r="E15" i="6"/>
  <c r="AB14" i="13" s="1"/>
  <c r="F14" i="6"/>
  <c r="AA13" i="19" s="1"/>
  <c r="E14" i="6"/>
  <c r="AB13" i="13" s="1"/>
  <c r="F13" i="6"/>
  <c r="E13" i="6"/>
  <c r="F12" i="6"/>
  <c r="AA11" i="13" s="1"/>
  <c r="E12" i="6"/>
  <c r="F11" i="6"/>
  <c r="E11" i="6"/>
  <c r="AB10" i="13" s="1"/>
  <c r="F10" i="6"/>
  <c r="AA9" i="19" s="1"/>
  <c r="E10" i="6"/>
  <c r="AB9" i="13" s="1"/>
  <c r="F9" i="6"/>
  <c r="E9" i="6"/>
  <c r="AB8" i="13" s="1"/>
  <c r="F96" i="5"/>
  <c r="AE95" i="13" s="1"/>
  <c r="E96" i="5"/>
  <c r="AF95" i="13" s="1"/>
  <c r="F94" i="5"/>
  <c r="AE93" i="13" s="1"/>
  <c r="E94" i="5"/>
  <c r="AF93" i="13" s="1"/>
  <c r="F93" i="5"/>
  <c r="AE92" i="13" s="1"/>
  <c r="E93" i="5"/>
  <c r="AF92" i="13" s="1"/>
  <c r="F92" i="5"/>
  <c r="AE91" i="19" s="1"/>
  <c r="E92" i="5"/>
  <c r="AF91" i="13" s="1"/>
  <c r="F89" i="5"/>
  <c r="AE88" i="13" s="1"/>
  <c r="E89" i="5"/>
  <c r="AF88" i="13" s="1"/>
  <c r="F88" i="5"/>
  <c r="AE87" i="19" s="1"/>
  <c r="E88" i="5"/>
  <c r="AF87" i="13" s="1"/>
  <c r="F87" i="5"/>
  <c r="AE86" i="13" s="1"/>
  <c r="E87" i="5"/>
  <c r="AF86" i="13" s="1"/>
  <c r="F86" i="5"/>
  <c r="AE85" i="19" s="1"/>
  <c r="E86" i="5"/>
  <c r="AF85" i="13" s="1"/>
  <c r="F85" i="5"/>
  <c r="AE84" i="13" s="1"/>
  <c r="E85" i="5"/>
  <c r="AF84" i="13" s="1"/>
  <c r="F84" i="5"/>
  <c r="AE83" i="19" s="1"/>
  <c r="E84" i="5"/>
  <c r="AF83" i="13" s="1"/>
  <c r="F83" i="5"/>
  <c r="AE82" i="13" s="1"/>
  <c r="E83" i="5"/>
  <c r="AF82" i="13" s="1"/>
  <c r="F82" i="5"/>
  <c r="AE81" i="13" s="1"/>
  <c r="E82" i="5"/>
  <c r="AF81" i="13" s="1"/>
  <c r="F81" i="5"/>
  <c r="AE80" i="19" s="1"/>
  <c r="E81" i="5"/>
  <c r="AF80" i="13" s="1"/>
  <c r="F80" i="5"/>
  <c r="AE79" i="13" s="1"/>
  <c r="E80" i="5"/>
  <c r="AF79" i="13" s="1"/>
  <c r="F77" i="5"/>
  <c r="AE76" i="13" s="1"/>
  <c r="E77" i="5"/>
  <c r="AF76" i="13" s="1"/>
  <c r="F76" i="5"/>
  <c r="AE75" i="19" s="1"/>
  <c r="E76" i="5"/>
  <c r="AF75" i="13" s="1"/>
  <c r="F75" i="5"/>
  <c r="E75" i="5"/>
  <c r="AF74" i="13" s="1"/>
  <c r="F74" i="5"/>
  <c r="AE73" i="19" s="1"/>
  <c r="E74" i="5"/>
  <c r="AF73" i="13" s="1"/>
  <c r="F73" i="5"/>
  <c r="AE72" i="19" s="1"/>
  <c r="E73" i="5"/>
  <c r="AF72" i="13" s="1"/>
  <c r="F72" i="5"/>
  <c r="E72" i="5"/>
  <c r="AF71" i="13" s="1"/>
  <c r="F71" i="5"/>
  <c r="AE70" i="19" s="1"/>
  <c r="E71" i="5"/>
  <c r="AF70" i="13" s="1"/>
  <c r="F70" i="5"/>
  <c r="E70" i="5"/>
  <c r="AF69" i="13" s="1"/>
  <c r="F69" i="5"/>
  <c r="AE68" i="19" s="1"/>
  <c r="E69" i="5"/>
  <c r="AF68" i="13" s="1"/>
  <c r="F68" i="5"/>
  <c r="AE67" i="19" s="1"/>
  <c r="E68" i="5"/>
  <c r="AF67" i="13" s="1"/>
  <c r="F67" i="5"/>
  <c r="E67" i="5"/>
  <c r="AF66" i="13" s="1"/>
  <c r="F65" i="5"/>
  <c r="AE64" i="19" s="1"/>
  <c r="E65" i="5"/>
  <c r="AF64" i="13" s="1"/>
  <c r="F64" i="5"/>
  <c r="AE63" i="19" s="1"/>
  <c r="E64" i="5"/>
  <c r="AF63" i="13" s="1"/>
  <c r="F63" i="5"/>
  <c r="E63" i="5"/>
  <c r="AF62" i="13" s="1"/>
  <c r="F62" i="5"/>
  <c r="AE61" i="19" s="1"/>
  <c r="E62" i="5"/>
  <c r="AF61" i="13" s="1"/>
  <c r="F60" i="5"/>
  <c r="AE59" i="13" s="1"/>
  <c r="E60" i="5"/>
  <c r="AF59" i="13" s="1"/>
  <c r="F59" i="5"/>
  <c r="E59" i="5"/>
  <c r="AF58" i="13" s="1"/>
  <c r="F58" i="5"/>
  <c r="AE57" i="19" s="1"/>
  <c r="E58" i="5"/>
  <c r="AF57" i="13" s="1"/>
  <c r="F57" i="5"/>
  <c r="AE56" i="19" s="1"/>
  <c r="E57" i="5"/>
  <c r="AF56" i="13" s="1"/>
  <c r="F56" i="5"/>
  <c r="AE55" i="13" s="1"/>
  <c r="E56" i="5"/>
  <c r="AF55" i="13" s="1"/>
  <c r="F55" i="5"/>
  <c r="E55" i="5"/>
  <c r="AF54" i="13" s="1"/>
  <c r="F54" i="5"/>
  <c r="AE53" i="19" s="1"/>
  <c r="E54" i="5"/>
  <c r="AF53" i="13" s="1"/>
  <c r="F51" i="5"/>
  <c r="AE50" i="13" s="1"/>
  <c r="E51" i="5"/>
  <c r="AF50" i="13" s="1"/>
  <c r="F50" i="5"/>
  <c r="AE49" i="19" s="1"/>
  <c r="E50" i="5"/>
  <c r="F49" i="5"/>
  <c r="AE48" i="19" s="1"/>
  <c r="E49" i="5"/>
  <c r="AF48" i="13" s="1"/>
  <c r="F48" i="5"/>
  <c r="AE47" i="19" s="1"/>
  <c r="E48" i="5"/>
  <c r="AF47" i="13" s="1"/>
  <c r="F47" i="5"/>
  <c r="E47" i="5"/>
  <c r="AF46" i="13" s="1"/>
  <c r="F46" i="5"/>
  <c r="AE45" i="19" s="1"/>
  <c r="E46" i="5"/>
  <c r="AF45" i="13" s="1"/>
  <c r="F45" i="5"/>
  <c r="E45" i="5"/>
  <c r="AF44" i="13" s="1"/>
  <c r="F44" i="5"/>
  <c r="AE43" i="19" s="1"/>
  <c r="E44" i="5"/>
  <c r="AF43" i="13" s="1"/>
  <c r="F43" i="5"/>
  <c r="AE42" i="19" s="1"/>
  <c r="E43" i="5"/>
  <c r="AF42" i="13" s="1"/>
  <c r="F42" i="5"/>
  <c r="AE41" i="19" s="1"/>
  <c r="E42" i="5"/>
  <c r="AF41" i="13" s="1"/>
  <c r="F41" i="5"/>
  <c r="E41" i="5"/>
  <c r="AF40" i="13" s="1"/>
  <c r="F40" i="5"/>
  <c r="AE39" i="19" s="1"/>
  <c r="E40" i="5"/>
  <c r="AF39" i="13" s="1"/>
  <c r="F39" i="5"/>
  <c r="AE38" i="13" s="1"/>
  <c r="E39" i="5"/>
  <c r="AF38" i="13" s="1"/>
  <c r="F38" i="5"/>
  <c r="AE37" i="19" s="1"/>
  <c r="E38" i="5"/>
  <c r="AF37" i="13" s="1"/>
  <c r="F37" i="5"/>
  <c r="AE36" i="19" s="1"/>
  <c r="E37" i="5"/>
  <c r="AF36" i="13" s="1"/>
  <c r="F36" i="5"/>
  <c r="AE35" i="19" s="1"/>
  <c r="E36" i="5"/>
  <c r="AF35" i="13" s="1"/>
  <c r="F33" i="5"/>
  <c r="E33" i="5"/>
  <c r="AF32" i="13" s="1"/>
  <c r="F32" i="5"/>
  <c r="AE31" i="19" s="1"/>
  <c r="E32" i="5"/>
  <c r="F31" i="5"/>
  <c r="E31" i="5"/>
  <c r="AF30" i="19" s="1"/>
  <c r="F30" i="5"/>
  <c r="AE29" i="19" s="1"/>
  <c r="E30" i="5"/>
  <c r="AF29" i="19" s="1"/>
  <c r="F29" i="5"/>
  <c r="AE28" i="13" s="1"/>
  <c r="E29" i="5"/>
  <c r="AF28" i="19" s="1"/>
  <c r="F28" i="5"/>
  <c r="AE27" i="13" s="1"/>
  <c r="E28" i="5"/>
  <c r="AF27" i="19" s="1"/>
  <c r="F27" i="5"/>
  <c r="AE26" i="13" s="1"/>
  <c r="F25" i="5"/>
  <c r="AE24" i="13" s="1"/>
  <c r="E25" i="5"/>
  <c r="AF24" i="13" s="1"/>
  <c r="F24" i="5"/>
  <c r="AE23" i="13" s="1"/>
  <c r="E24" i="5"/>
  <c r="AF23" i="19" s="1"/>
  <c r="F23" i="5"/>
  <c r="AE22" i="19" s="1"/>
  <c r="E23" i="5"/>
  <c r="AF22" i="19" s="1"/>
  <c r="F22" i="5"/>
  <c r="AE21" i="13" s="1"/>
  <c r="E22" i="5"/>
  <c r="AF21" i="19" s="1"/>
  <c r="F21" i="5"/>
  <c r="AE20" i="13" s="1"/>
  <c r="E21" i="5"/>
  <c r="AF20" i="13" s="1"/>
  <c r="F19" i="5"/>
  <c r="AE18" i="19" s="1"/>
  <c r="E19" i="5"/>
  <c r="AF18" i="19" s="1"/>
  <c r="F18" i="5"/>
  <c r="AE17" i="13" s="1"/>
  <c r="E18" i="5"/>
  <c r="AF17" i="19" s="1"/>
  <c r="F17" i="5"/>
  <c r="E17" i="5"/>
  <c r="AF16" i="19" s="1"/>
  <c r="F16" i="5"/>
  <c r="AE15" i="13" s="1"/>
  <c r="E16" i="5"/>
  <c r="AF15" i="19" s="1"/>
  <c r="F15" i="5"/>
  <c r="AE14" i="19" s="1"/>
  <c r="E15" i="5"/>
  <c r="AF14" i="19" s="1"/>
  <c r="F14" i="5"/>
  <c r="AE13" i="13" s="1"/>
  <c r="E14" i="5"/>
  <c r="AF13" i="19" s="1"/>
  <c r="F13" i="5"/>
  <c r="E13" i="5"/>
  <c r="AF12" i="19" s="1"/>
  <c r="F12" i="5"/>
  <c r="AE11" i="13" s="1"/>
  <c r="E12" i="5"/>
  <c r="AF11" i="19" s="1"/>
  <c r="F11" i="5"/>
  <c r="AE10" i="19" s="1"/>
  <c r="E11" i="5"/>
  <c r="AF10" i="19" s="1"/>
  <c r="F10" i="5"/>
  <c r="AE9" i="13" s="1"/>
  <c r="E10" i="5"/>
  <c r="AF9" i="19" s="1"/>
  <c r="F9" i="5"/>
  <c r="AE8" i="19" s="1"/>
  <c r="E9" i="5"/>
  <c r="AF8" i="19" s="1"/>
  <c r="F96" i="4"/>
  <c r="AI95" i="13" s="1"/>
  <c r="E96" i="4"/>
  <c r="AJ95" i="13" s="1"/>
  <c r="F94" i="4"/>
  <c r="AI93" i="13" s="1"/>
  <c r="E94" i="4"/>
  <c r="AJ93" i="13" s="1"/>
  <c r="F93" i="4"/>
  <c r="AI92" i="19" s="1"/>
  <c r="E93" i="4"/>
  <c r="F92" i="4"/>
  <c r="AI91" i="19" s="1"/>
  <c r="E92" i="4"/>
  <c r="AJ91" i="19" s="1"/>
  <c r="F89" i="4"/>
  <c r="AI88" i="13" s="1"/>
  <c r="E89" i="4"/>
  <c r="AJ88" i="13" s="1"/>
  <c r="F88" i="4"/>
  <c r="AI87" i="19" s="1"/>
  <c r="E88" i="4"/>
  <c r="AJ87" i="19" s="1"/>
  <c r="F87" i="4"/>
  <c r="AI86" i="19" s="1"/>
  <c r="E87" i="4"/>
  <c r="AJ86" i="19" s="1"/>
  <c r="F86" i="4"/>
  <c r="E86" i="4"/>
  <c r="AJ85" i="19" s="1"/>
  <c r="F85" i="4"/>
  <c r="AI84" i="19" s="1"/>
  <c r="E85" i="4"/>
  <c r="AJ84" i="13" s="1"/>
  <c r="F84" i="4"/>
  <c r="E84" i="4"/>
  <c r="AJ83" i="19" s="1"/>
  <c r="F83" i="4"/>
  <c r="AI82" i="13" s="1"/>
  <c r="E83" i="4"/>
  <c r="AJ82" i="13" s="1"/>
  <c r="F82" i="4"/>
  <c r="E82" i="4"/>
  <c r="AJ81" i="13" s="1"/>
  <c r="F81" i="4"/>
  <c r="AI80" i="13" s="1"/>
  <c r="E81" i="4"/>
  <c r="AJ80" i="19" s="1"/>
  <c r="F80" i="4"/>
  <c r="AI79" i="13" s="1"/>
  <c r="E80" i="4"/>
  <c r="AJ79" i="13" s="1"/>
  <c r="F77" i="4"/>
  <c r="AI76" i="13" s="1"/>
  <c r="E77" i="4"/>
  <c r="AJ76" i="13" s="1"/>
  <c r="F76" i="4"/>
  <c r="E76" i="4"/>
  <c r="AJ75" i="19" s="1"/>
  <c r="F75" i="4"/>
  <c r="AI74" i="19" s="1"/>
  <c r="E75" i="4"/>
  <c r="AJ74" i="19" s="1"/>
  <c r="F74" i="4"/>
  <c r="AI73" i="13" s="1"/>
  <c r="E74" i="4"/>
  <c r="F73" i="4"/>
  <c r="AI72" i="19" s="1"/>
  <c r="E73" i="4"/>
  <c r="AJ72" i="19" s="1"/>
  <c r="F72" i="4"/>
  <c r="AI71" i="13" s="1"/>
  <c r="E72" i="4"/>
  <c r="F71" i="4"/>
  <c r="AI70" i="19" s="1"/>
  <c r="E71" i="4"/>
  <c r="AJ70" i="19" s="1"/>
  <c r="F70" i="4"/>
  <c r="AI69" i="13" s="1"/>
  <c r="E70" i="4"/>
  <c r="F69" i="4"/>
  <c r="AI68" i="13" s="1"/>
  <c r="E69" i="4"/>
  <c r="AJ68" i="19" s="1"/>
  <c r="F68" i="4"/>
  <c r="AI67" i="13" s="1"/>
  <c r="E68" i="4"/>
  <c r="F67" i="4"/>
  <c r="AI66" i="13" s="1"/>
  <c r="E67" i="4"/>
  <c r="AJ66" i="19" s="1"/>
  <c r="F65" i="4"/>
  <c r="AI64" i="19" s="1"/>
  <c r="E65" i="4"/>
  <c r="AJ64" i="13" s="1"/>
  <c r="F64" i="4"/>
  <c r="AI63" i="19" s="1"/>
  <c r="E64" i="4"/>
  <c r="AJ63" i="19" s="1"/>
  <c r="F63" i="4"/>
  <c r="AI62" i="19" s="1"/>
  <c r="E63" i="4"/>
  <c r="F62" i="4"/>
  <c r="AI61" i="13" s="1"/>
  <c r="E62" i="4"/>
  <c r="AJ61" i="13" s="1"/>
  <c r="F60" i="4"/>
  <c r="AI59" i="13" s="1"/>
  <c r="E60" i="4"/>
  <c r="AJ59" i="13" s="1"/>
  <c r="F59" i="4"/>
  <c r="AI58" i="19" s="1"/>
  <c r="E59" i="4"/>
  <c r="F58" i="4"/>
  <c r="AI57" i="19" s="1"/>
  <c r="E58" i="4"/>
  <c r="AJ57" i="19" s="1"/>
  <c r="F57" i="4"/>
  <c r="AI56" i="19" s="1"/>
  <c r="E57" i="4"/>
  <c r="F56" i="4"/>
  <c r="AI55" i="19" s="1"/>
  <c r="E56" i="4"/>
  <c r="AJ55" i="13" s="1"/>
  <c r="F55" i="4"/>
  <c r="AI54" i="19" s="1"/>
  <c r="E55" i="4"/>
  <c r="F54" i="4"/>
  <c r="E54" i="4"/>
  <c r="AJ53" i="19" s="1"/>
  <c r="F51" i="4"/>
  <c r="E51" i="4"/>
  <c r="AJ50" i="19" s="1"/>
  <c r="F50" i="4"/>
  <c r="AI49" i="13" s="1"/>
  <c r="E50" i="4"/>
  <c r="AJ49" i="13" s="1"/>
  <c r="F49" i="4"/>
  <c r="E49" i="4"/>
  <c r="F48" i="4"/>
  <c r="AI47" i="13" s="1"/>
  <c r="E48" i="4"/>
  <c r="AJ47" i="13" s="1"/>
  <c r="F47" i="4"/>
  <c r="AI46" i="19" s="1"/>
  <c r="E47" i="4"/>
  <c r="AJ46" i="13" s="1"/>
  <c r="F46" i="4"/>
  <c r="AI45" i="13" s="1"/>
  <c r="E46" i="4"/>
  <c r="AJ45" i="13" s="1"/>
  <c r="F45" i="4"/>
  <c r="AI44" i="19" s="1"/>
  <c r="E45" i="4"/>
  <c r="F44" i="4"/>
  <c r="E44" i="4"/>
  <c r="AJ43" i="19" s="1"/>
  <c r="F43" i="4"/>
  <c r="E43" i="4"/>
  <c r="F42" i="4"/>
  <c r="AI41" i="19" s="1"/>
  <c r="E42" i="4"/>
  <c r="AJ41" i="13" s="1"/>
  <c r="F41" i="4"/>
  <c r="E41" i="4"/>
  <c r="F40" i="4"/>
  <c r="AI39" i="13" s="1"/>
  <c r="E40" i="4"/>
  <c r="AJ39" i="13" s="1"/>
  <c r="F39" i="4"/>
  <c r="AI38" i="13" s="1"/>
  <c r="E39" i="4"/>
  <c r="F38" i="4"/>
  <c r="AI37" i="19" s="1"/>
  <c r="E38" i="4"/>
  <c r="AJ37" i="19" s="1"/>
  <c r="F37" i="4"/>
  <c r="AI36" i="13" s="1"/>
  <c r="E37" i="4"/>
  <c r="F36" i="4"/>
  <c r="E36" i="4"/>
  <c r="AJ35" i="19" s="1"/>
  <c r="F33" i="4"/>
  <c r="AI32" i="13" s="1"/>
  <c r="E33" i="4"/>
  <c r="AJ32" i="13" s="1"/>
  <c r="F32" i="4"/>
  <c r="AI31" i="19" s="1"/>
  <c r="E32" i="4"/>
  <c r="AJ31" i="13" s="1"/>
  <c r="F31" i="4"/>
  <c r="AI30" i="19" s="1"/>
  <c r="E31" i="4"/>
  <c r="AJ30" i="19" s="1"/>
  <c r="F30" i="4"/>
  <c r="AI29" i="19" s="1"/>
  <c r="E30" i="4"/>
  <c r="AJ29" i="19" s="1"/>
  <c r="F29" i="4"/>
  <c r="AI28" i="19" s="1"/>
  <c r="E29" i="4"/>
  <c r="F28" i="4"/>
  <c r="AI27" i="19" s="1"/>
  <c r="E28" i="4"/>
  <c r="AJ27" i="19" s="1"/>
  <c r="F25" i="4"/>
  <c r="AI24" i="13" s="1"/>
  <c r="E25" i="4"/>
  <c r="AJ24" i="13" s="1"/>
  <c r="F24" i="4"/>
  <c r="E24" i="4"/>
  <c r="AJ23" i="19" s="1"/>
  <c r="F23" i="4"/>
  <c r="AI22" i="19" s="1"/>
  <c r="E23" i="4"/>
  <c r="AJ22" i="19" s="1"/>
  <c r="F22" i="4"/>
  <c r="AI21" i="13" s="1"/>
  <c r="E22" i="4"/>
  <c r="F21" i="4"/>
  <c r="AI20" i="13" s="1"/>
  <c r="E21" i="4"/>
  <c r="AJ20" i="13" s="1"/>
  <c r="F19" i="4"/>
  <c r="AI18" i="19" s="1"/>
  <c r="E19" i="4"/>
  <c r="AJ18" i="13" s="1"/>
  <c r="F18" i="4"/>
  <c r="AI17" i="19" s="1"/>
  <c r="E18" i="4"/>
  <c r="F17" i="4"/>
  <c r="AI16" i="19" s="1"/>
  <c r="E17" i="4"/>
  <c r="AJ16" i="19" s="1"/>
  <c r="F16" i="4"/>
  <c r="AI15" i="19" s="1"/>
  <c r="E16" i="4"/>
  <c r="F15" i="4"/>
  <c r="AI14" i="13" s="1"/>
  <c r="E15" i="4"/>
  <c r="AJ14" i="19" s="1"/>
  <c r="F14" i="4"/>
  <c r="AI13" i="19" s="1"/>
  <c r="E14" i="4"/>
  <c r="F13" i="4"/>
  <c r="AI12" i="19" s="1"/>
  <c r="E13" i="4"/>
  <c r="AJ12" i="19" s="1"/>
  <c r="F12" i="4"/>
  <c r="AI11" i="13" s="1"/>
  <c r="E12" i="4"/>
  <c r="AJ11" i="13" s="1"/>
  <c r="F11" i="4"/>
  <c r="AI10" i="13" s="1"/>
  <c r="E11" i="4"/>
  <c r="AJ10" i="13" s="1"/>
  <c r="F10" i="4"/>
  <c r="AI9" i="13" s="1"/>
  <c r="E10" i="4"/>
  <c r="AJ9" i="19" s="1"/>
  <c r="F9" i="4"/>
  <c r="E9" i="4"/>
  <c r="AJ8" i="19" s="1"/>
  <c r="E8" i="2"/>
  <c r="AR7" i="13" s="1"/>
  <c r="F8" i="2"/>
  <c r="AQ7" i="13" s="1"/>
  <c r="E9" i="2"/>
  <c r="AR8" i="13" s="1"/>
  <c r="F9" i="2"/>
  <c r="E10" i="2"/>
  <c r="F10" i="2"/>
  <c r="AQ9" i="13" s="1"/>
  <c r="E11" i="2"/>
  <c r="AR10" i="13" s="1"/>
  <c r="F11" i="2"/>
  <c r="AQ10" i="19" s="1"/>
  <c r="E12" i="2"/>
  <c r="F12" i="2"/>
  <c r="AQ11" i="13" s="1"/>
  <c r="E13" i="2"/>
  <c r="AR12" i="13" s="1"/>
  <c r="F13" i="2"/>
  <c r="E14" i="2"/>
  <c r="F14" i="2"/>
  <c r="AQ13" i="13" s="1"/>
  <c r="E15" i="2"/>
  <c r="AR14" i="13" s="1"/>
  <c r="F15" i="2"/>
  <c r="AQ14" i="13" s="1"/>
  <c r="E16" i="2"/>
  <c r="F16" i="2"/>
  <c r="AQ15" i="19" s="1"/>
  <c r="E17" i="2"/>
  <c r="AR16" i="13" s="1"/>
  <c r="F17" i="2"/>
  <c r="E18" i="2"/>
  <c r="AR17" i="13" s="1"/>
  <c r="F18" i="2"/>
  <c r="E19" i="2"/>
  <c r="AR18" i="13" s="1"/>
  <c r="F19" i="2"/>
  <c r="AQ18" i="19" s="1"/>
  <c r="E21" i="2"/>
  <c r="AR20" i="13" s="1"/>
  <c r="F21" i="2"/>
  <c r="AQ20" i="13" s="1"/>
  <c r="E22" i="2"/>
  <c r="F22" i="2"/>
  <c r="AQ21" i="19" s="1"/>
  <c r="E23" i="2"/>
  <c r="F23" i="2"/>
  <c r="AQ22" i="13" s="1"/>
  <c r="E24" i="2"/>
  <c r="F24" i="2"/>
  <c r="AQ23" i="19" s="1"/>
  <c r="E25" i="2"/>
  <c r="AR24" i="13" s="1"/>
  <c r="F25" i="2"/>
  <c r="AQ24" i="13" s="1"/>
  <c r="E27" i="2"/>
  <c r="AR26" i="13" s="1"/>
  <c r="F27" i="2"/>
  <c r="AQ26" i="13" s="1"/>
  <c r="E28" i="2"/>
  <c r="AR27" i="13" s="1"/>
  <c r="F28" i="2"/>
  <c r="AQ27" i="19" s="1"/>
  <c r="E29" i="2"/>
  <c r="F29" i="2"/>
  <c r="AQ28" i="19" s="1"/>
  <c r="E30" i="2"/>
  <c r="AR29" i="13" s="1"/>
  <c r="F30" i="2"/>
  <c r="AQ29" i="19" s="1"/>
  <c r="E31" i="2"/>
  <c r="AR30" i="13" s="1"/>
  <c r="F31" i="2"/>
  <c r="AQ30" i="19" s="1"/>
  <c r="E32" i="2"/>
  <c r="AR31" i="13" s="1"/>
  <c r="F32" i="2"/>
  <c r="AQ31" i="13" s="1"/>
  <c r="E33" i="2"/>
  <c r="AR32" i="13" s="1"/>
  <c r="F33" i="2"/>
  <c r="AQ32" i="13" s="1"/>
  <c r="E36" i="2"/>
  <c r="F36" i="2"/>
  <c r="AQ35" i="13" s="1"/>
  <c r="E37" i="2"/>
  <c r="F37" i="2"/>
  <c r="AQ36" i="19" s="1"/>
  <c r="E38" i="2"/>
  <c r="F38" i="2"/>
  <c r="E39" i="2"/>
  <c r="AR38" i="13" s="1"/>
  <c r="F39" i="2"/>
  <c r="AQ38" i="19" s="1"/>
  <c r="E40" i="2"/>
  <c r="F40" i="2"/>
  <c r="E41" i="2"/>
  <c r="F41" i="2"/>
  <c r="AQ40" i="19" s="1"/>
  <c r="E42" i="2"/>
  <c r="F42" i="2"/>
  <c r="E43" i="2"/>
  <c r="F43" i="2"/>
  <c r="AQ42" i="19" s="1"/>
  <c r="E44" i="2"/>
  <c r="F44" i="2"/>
  <c r="AQ43" i="19" s="1"/>
  <c r="E45" i="2"/>
  <c r="AR44" i="13" s="1"/>
  <c r="F45" i="2"/>
  <c r="AQ44" i="19" s="1"/>
  <c r="E46" i="2"/>
  <c r="F46" i="2"/>
  <c r="E47" i="2"/>
  <c r="AR46" i="13" s="1"/>
  <c r="F47" i="2"/>
  <c r="AQ46" i="19" s="1"/>
  <c r="E48" i="2"/>
  <c r="F48" i="2"/>
  <c r="AQ47" i="13" s="1"/>
  <c r="E49" i="2"/>
  <c r="F49" i="2"/>
  <c r="AQ48" i="19" s="1"/>
  <c r="E50" i="2"/>
  <c r="F50" i="2"/>
  <c r="E51" i="2"/>
  <c r="F51" i="2"/>
  <c r="AQ50" i="13" s="1"/>
  <c r="E53" i="2"/>
  <c r="AR52" i="13" s="1"/>
  <c r="F53" i="2"/>
  <c r="AQ52" i="13" s="1"/>
  <c r="E54" i="2"/>
  <c r="F54" i="2"/>
  <c r="AQ53" i="13" s="1"/>
  <c r="E55" i="2"/>
  <c r="AR54" i="13" s="1"/>
  <c r="F55" i="2"/>
  <c r="AQ54" i="13" s="1"/>
  <c r="E56" i="2"/>
  <c r="F56" i="2"/>
  <c r="AQ55" i="13" s="1"/>
  <c r="E57" i="2"/>
  <c r="AR56" i="13" s="1"/>
  <c r="F57" i="2"/>
  <c r="AQ56" i="13" s="1"/>
  <c r="E58" i="2"/>
  <c r="F58" i="2"/>
  <c r="AQ57" i="19" s="1"/>
  <c r="E59" i="2"/>
  <c r="F59" i="2"/>
  <c r="AQ58" i="13" s="1"/>
  <c r="E60" i="2"/>
  <c r="AR59" i="13" s="1"/>
  <c r="F60" i="2"/>
  <c r="AQ59" i="13" s="1"/>
  <c r="E62" i="2"/>
  <c r="AR61" i="13" s="1"/>
  <c r="F62" i="2"/>
  <c r="E63" i="2"/>
  <c r="F63" i="2"/>
  <c r="AQ62" i="13" s="1"/>
  <c r="E64" i="2"/>
  <c r="AR63" i="13" s="1"/>
  <c r="F64" i="2"/>
  <c r="E65" i="2"/>
  <c r="AR64" i="13" s="1"/>
  <c r="F65" i="2"/>
  <c r="AQ64" i="19" s="1"/>
  <c r="E67" i="2"/>
  <c r="AR66" i="13" s="1"/>
  <c r="F67" i="2"/>
  <c r="E68" i="2"/>
  <c r="AR67" i="13" s="1"/>
  <c r="F68" i="2"/>
  <c r="AQ67" i="19" s="1"/>
  <c r="E69" i="2"/>
  <c r="AR68" i="13" s="1"/>
  <c r="F69" i="2"/>
  <c r="E70" i="2"/>
  <c r="F70" i="2"/>
  <c r="AQ69" i="19" s="1"/>
  <c r="E71" i="2"/>
  <c r="AR70" i="13" s="1"/>
  <c r="F71" i="2"/>
  <c r="E72" i="2"/>
  <c r="F72" i="2"/>
  <c r="AQ71" i="19" s="1"/>
  <c r="E73" i="2"/>
  <c r="AR72" i="13" s="1"/>
  <c r="F73" i="2"/>
  <c r="E74" i="2"/>
  <c r="F74" i="2"/>
  <c r="AQ73" i="19" s="1"/>
  <c r="E75" i="2"/>
  <c r="F75" i="2"/>
  <c r="E76" i="2"/>
  <c r="F76" i="2"/>
  <c r="AQ75" i="13" s="1"/>
  <c r="E77" i="2"/>
  <c r="AR76" i="13" s="1"/>
  <c r="F77" i="2"/>
  <c r="AQ76" i="13" s="1"/>
  <c r="E79" i="2"/>
  <c r="AR78" i="13" s="1"/>
  <c r="F79" i="2"/>
  <c r="AQ78" i="13" s="1"/>
  <c r="E80" i="2"/>
  <c r="F80" i="2"/>
  <c r="AQ79" i="19" s="1"/>
  <c r="E81" i="2"/>
  <c r="F81" i="2"/>
  <c r="AQ80" i="13" s="1"/>
  <c r="E82" i="2"/>
  <c r="F82" i="2"/>
  <c r="AQ81" i="13" s="1"/>
  <c r="E83" i="2"/>
  <c r="AR82" i="13" s="1"/>
  <c r="F83" i="2"/>
  <c r="AQ82" i="13" s="1"/>
  <c r="E84" i="2"/>
  <c r="F84" i="2"/>
  <c r="AQ83" i="19" s="1"/>
  <c r="E85" i="2"/>
  <c r="F85" i="2"/>
  <c r="E86" i="2"/>
  <c r="AR85" i="13" s="1"/>
  <c r="F86" i="2"/>
  <c r="AQ85" i="19" s="1"/>
  <c r="E87" i="2"/>
  <c r="F87" i="2"/>
  <c r="E88" i="2"/>
  <c r="F88" i="2"/>
  <c r="AQ87" i="19" s="1"/>
  <c r="E89" i="2"/>
  <c r="F89" i="2"/>
  <c r="AQ88" i="19" s="1"/>
  <c r="E91" i="2"/>
  <c r="AR90" i="13" s="1"/>
  <c r="F91" i="2"/>
  <c r="AQ90" i="13" s="1"/>
  <c r="E92" i="2"/>
  <c r="F92" i="2"/>
  <c r="AQ91" i="13" s="1"/>
  <c r="E93" i="2"/>
  <c r="AR92" i="13" s="1"/>
  <c r="F93" i="2"/>
  <c r="AQ92" i="19" s="1"/>
  <c r="E94" i="2"/>
  <c r="AR93" i="13" s="1"/>
  <c r="F94" i="2"/>
  <c r="AQ93" i="13" s="1"/>
  <c r="E96" i="2"/>
  <c r="AR95" i="13" s="1"/>
  <c r="F96" i="2"/>
  <c r="AQ95" i="13" s="1"/>
  <c r="E9" i="1"/>
  <c r="AT8" i="19" s="1"/>
  <c r="E10" i="1"/>
  <c r="E11" i="1"/>
  <c r="AT10" i="19" s="1"/>
  <c r="E12" i="1"/>
  <c r="E13" i="1"/>
  <c r="AT12" i="19" s="1"/>
  <c r="E14" i="1"/>
  <c r="AT13" i="19" s="1"/>
  <c r="E15" i="1"/>
  <c r="AT14" i="19" s="1"/>
  <c r="E16" i="1"/>
  <c r="E17" i="1"/>
  <c r="AT16" i="19" s="1"/>
  <c r="E18" i="1"/>
  <c r="AT17" i="19" s="1"/>
  <c r="E19" i="1"/>
  <c r="AT18" i="19" s="1"/>
  <c r="E22" i="1"/>
  <c r="AT21" i="19" s="1"/>
  <c r="E23" i="1"/>
  <c r="AT22" i="19" s="1"/>
  <c r="E24" i="1"/>
  <c r="AT23" i="19" s="1"/>
  <c r="E25" i="1"/>
  <c r="E28" i="1"/>
  <c r="AT27" i="19" s="1"/>
  <c r="E29" i="1"/>
  <c r="AT28" i="19" s="1"/>
  <c r="E30" i="1"/>
  <c r="AT29" i="19" s="1"/>
  <c r="E31" i="1"/>
  <c r="AT30" i="19" s="1"/>
  <c r="E32" i="1"/>
  <c r="AT31" i="19" s="1"/>
  <c r="E33" i="1"/>
  <c r="E36" i="1"/>
  <c r="AT35" i="19" s="1"/>
  <c r="E37" i="1"/>
  <c r="AT36" i="19" s="1"/>
  <c r="E38" i="1"/>
  <c r="AT37" i="19" s="1"/>
  <c r="E39" i="1"/>
  <c r="E40" i="1"/>
  <c r="AT39" i="19" s="1"/>
  <c r="E41" i="1"/>
  <c r="AT40" i="19" s="1"/>
  <c r="E42" i="1"/>
  <c r="AT41" i="19" s="1"/>
  <c r="E43" i="1"/>
  <c r="E44" i="1"/>
  <c r="AT43" i="19" s="1"/>
  <c r="E45" i="1"/>
  <c r="AT44" i="19" s="1"/>
  <c r="E46" i="1"/>
  <c r="AT45" i="19" s="1"/>
  <c r="E47" i="1"/>
  <c r="AT46" i="19" s="1"/>
  <c r="E48" i="1"/>
  <c r="AT47" i="19" s="1"/>
  <c r="E49" i="1"/>
  <c r="AT48" i="19" s="1"/>
  <c r="E50" i="1"/>
  <c r="AT49" i="19" s="1"/>
  <c r="E51" i="1"/>
  <c r="E54" i="1"/>
  <c r="E55" i="1"/>
  <c r="AT54" i="19" s="1"/>
  <c r="E56" i="1"/>
  <c r="AT55" i="19" s="1"/>
  <c r="E57" i="1"/>
  <c r="E58" i="1"/>
  <c r="E59" i="1"/>
  <c r="AT58" i="19" s="1"/>
  <c r="E60" i="1"/>
  <c r="E62" i="1"/>
  <c r="E63" i="1"/>
  <c r="AT62" i="19" s="1"/>
  <c r="E64" i="1"/>
  <c r="E65" i="1"/>
  <c r="AT64" i="19" s="1"/>
  <c r="E67" i="1"/>
  <c r="E68" i="1"/>
  <c r="E69" i="1"/>
  <c r="AT68" i="19" s="1"/>
  <c r="E70" i="1"/>
  <c r="AT69" i="19" s="1"/>
  <c r="E71" i="1"/>
  <c r="E72" i="1"/>
  <c r="E73" i="1"/>
  <c r="E74" i="1"/>
  <c r="AT73" i="19" s="1"/>
  <c r="E75" i="1"/>
  <c r="E76" i="1"/>
  <c r="AT75" i="19" s="1"/>
  <c r="E77" i="1"/>
  <c r="E79" i="1"/>
  <c r="E80" i="1"/>
  <c r="E81" i="1"/>
  <c r="E82" i="1"/>
  <c r="E83" i="1"/>
  <c r="E84" i="1"/>
  <c r="E85" i="1"/>
  <c r="E86" i="1"/>
  <c r="E87" i="1"/>
  <c r="E88" i="1"/>
  <c r="AT87" i="19" s="1"/>
  <c r="E89" i="1"/>
  <c r="AT88" i="19" s="1"/>
  <c r="E91" i="1"/>
  <c r="E92" i="1"/>
  <c r="AT91" i="19" s="1"/>
  <c r="E93" i="1"/>
  <c r="AT92" i="19" s="1"/>
  <c r="E94" i="1"/>
  <c r="E96" i="1"/>
  <c r="F8" i="1"/>
  <c r="AS7" i="13" s="1"/>
  <c r="F9" i="1"/>
  <c r="F10" i="1"/>
  <c r="F11" i="1"/>
  <c r="F12" i="1"/>
  <c r="AS11" i="13" s="1"/>
  <c r="F13" i="1"/>
  <c r="AS12" i="13" s="1"/>
  <c r="F14" i="1"/>
  <c r="F15" i="1"/>
  <c r="F16" i="1"/>
  <c r="AS15" i="13" s="1"/>
  <c r="F17" i="1"/>
  <c r="AS16" i="13" s="1"/>
  <c r="F18" i="1"/>
  <c r="F19" i="1"/>
  <c r="F22" i="1"/>
  <c r="AS21" i="13" s="1"/>
  <c r="F23" i="1"/>
  <c r="AS22" i="13" s="1"/>
  <c r="F24" i="1"/>
  <c r="F25" i="1"/>
  <c r="AS24" i="13" s="1"/>
  <c r="F27" i="1"/>
  <c r="AS26" i="13" s="1"/>
  <c r="F28" i="1"/>
  <c r="F29" i="1"/>
  <c r="F30" i="1"/>
  <c r="AS29" i="13" s="1"/>
  <c r="F31" i="1"/>
  <c r="F32" i="1"/>
  <c r="F33" i="1"/>
  <c r="AS32" i="13" s="1"/>
  <c r="F36" i="1"/>
  <c r="AS35" i="13" s="1"/>
  <c r="F37" i="1"/>
  <c r="AS36" i="13" s="1"/>
  <c r="F38" i="1"/>
  <c r="F39" i="1"/>
  <c r="AS38" i="13" s="1"/>
  <c r="F40" i="1"/>
  <c r="F41" i="1"/>
  <c r="AS40" i="13" s="1"/>
  <c r="F42" i="1"/>
  <c r="F43" i="1"/>
  <c r="AS42" i="13" s="1"/>
  <c r="F44" i="1"/>
  <c r="AS43" i="13" s="1"/>
  <c r="F45" i="1"/>
  <c r="AS44" i="13" s="1"/>
  <c r="F46" i="1"/>
  <c r="F47" i="1"/>
  <c r="AS46" i="13" s="1"/>
  <c r="F48" i="1"/>
  <c r="AS47" i="13" s="1"/>
  <c r="F49" i="1"/>
  <c r="AS48" i="13" s="1"/>
  <c r="F50" i="1"/>
  <c r="F51" i="1"/>
  <c r="AS50" i="13" s="1"/>
  <c r="F54" i="1"/>
  <c r="AS53" i="13" s="1"/>
  <c r="F55" i="1"/>
  <c r="AS54" i="13" s="1"/>
  <c r="F56" i="1"/>
  <c r="F57" i="1"/>
  <c r="AS56" i="13" s="1"/>
  <c r="F58" i="1"/>
  <c r="F59" i="1"/>
  <c r="AS58" i="13" s="1"/>
  <c r="F60" i="1"/>
  <c r="AS59" i="13" s="1"/>
  <c r="F62" i="1"/>
  <c r="AS61" i="13" s="1"/>
  <c r="F63" i="1"/>
  <c r="AS62" i="13" s="1"/>
  <c r="F64" i="1"/>
  <c r="F65" i="1"/>
  <c r="AS64" i="13" s="1"/>
  <c r="F67" i="1"/>
  <c r="F68" i="1"/>
  <c r="AS67" i="13" s="1"/>
  <c r="F69" i="1"/>
  <c r="AS68" i="13" s="1"/>
  <c r="F70" i="1"/>
  <c r="AS69" i="13" s="1"/>
  <c r="F71" i="1"/>
  <c r="F72" i="1"/>
  <c r="AS71" i="13" s="1"/>
  <c r="F73" i="1"/>
  <c r="F74" i="1"/>
  <c r="AS73" i="13" s="1"/>
  <c r="F75" i="1"/>
  <c r="F76" i="1"/>
  <c r="AS75" i="13" s="1"/>
  <c r="F77" i="1"/>
  <c r="AS76" i="13" s="1"/>
  <c r="F80" i="1"/>
  <c r="AS79" i="13" s="1"/>
  <c r="F81" i="1"/>
  <c r="AS80" i="13" s="1"/>
  <c r="F82" i="1"/>
  <c r="AS81" i="13" s="1"/>
  <c r="F83" i="1"/>
  <c r="AS82" i="13" s="1"/>
  <c r="F84" i="1"/>
  <c r="F85" i="1"/>
  <c r="F86" i="1"/>
  <c r="AS85" i="13" s="1"/>
  <c r="F87" i="1"/>
  <c r="F88" i="1"/>
  <c r="F89" i="1"/>
  <c r="F91" i="1"/>
  <c r="AS90" i="13" s="1"/>
  <c r="F92" i="1"/>
  <c r="AS91" i="13" s="1"/>
  <c r="F93" i="1"/>
  <c r="AS92" i="13" s="1"/>
  <c r="F94" i="1"/>
  <c r="AS93" i="13" s="1"/>
  <c r="F96" i="1"/>
  <c r="AS95" i="13" s="1"/>
  <c r="F91" i="9"/>
  <c r="O90" i="13" s="1"/>
  <c r="E79" i="9"/>
  <c r="P78" i="13" s="1"/>
  <c r="AQ87" i="13"/>
  <c r="AQ11" i="19"/>
  <c r="AM9" i="13"/>
  <c r="AM23" i="13"/>
  <c r="AN45" i="13"/>
  <c r="AJ14" i="13"/>
  <c r="AI87" i="13"/>
  <c r="AE8" i="13"/>
  <c r="AE75" i="13"/>
  <c r="F27" i="6"/>
  <c r="AA26" i="13" s="1"/>
  <c r="AA36" i="19"/>
  <c r="AA44" i="19"/>
  <c r="AB53" i="13"/>
  <c r="AB55" i="13"/>
  <c r="AB57" i="13"/>
  <c r="AB63" i="13"/>
  <c r="F79" i="6"/>
  <c r="AA78" i="13" s="1"/>
  <c r="AA86" i="19"/>
  <c r="AA87" i="13"/>
  <c r="E8" i="7"/>
  <c r="X7" i="13" s="1"/>
  <c r="W9" i="13"/>
  <c r="W17" i="13"/>
  <c r="W61" i="19"/>
  <c r="W66" i="19"/>
  <c r="W70" i="13"/>
  <c r="X80" i="19"/>
  <c r="F91" i="7"/>
  <c r="W90" i="13" s="1"/>
  <c r="S40" i="19"/>
  <c r="S43" i="19"/>
  <c r="S50" i="19"/>
  <c r="S84" i="13"/>
  <c r="S88" i="19"/>
  <c r="O12" i="19"/>
  <c r="O18" i="19"/>
  <c r="O21" i="19"/>
  <c r="O23" i="19"/>
  <c r="P28" i="19"/>
  <c r="P39" i="13"/>
  <c r="P41" i="13"/>
  <c r="O53" i="19"/>
  <c r="O56" i="19"/>
  <c r="O61" i="19"/>
  <c r="O66" i="19"/>
  <c r="O69" i="19"/>
  <c r="O70" i="19"/>
  <c r="O72" i="19"/>
  <c r="O91" i="19"/>
  <c r="L9" i="13"/>
  <c r="G13" i="13"/>
  <c r="H39" i="13"/>
  <c r="H43" i="13"/>
  <c r="G70" i="19"/>
  <c r="G74" i="19"/>
  <c r="H84" i="13"/>
  <c r="H88" i="19"/>
  <c r="D10" i="13"/>
  <c r="D12" i="19"/>
  <c r="D18" i="13"/>
  <c r="D23" i="13"/>
  <c r="C48" i="19"/>
  <c r="D54" i="19"/>
  <c r="D61" i="19"/>
  <c r="D63" i="13"/>
  <c r="C81" i="19"/>
  <c r="AQ47" i="19"/>
  <c r="AQ27" i="13"/>
  <c r="AQ22" i="19"/>
  <c r="AQ14" i="19"/>
  <c r="AM73" i="19"/>
  <c r="AT48" i="13"/>
  <c r="AT18" i="13"/>
  <c r="AR74" i="13"/>
  <c r="AR62" i="13"/>
  <c r="AN9" i="13"/>
  <c r="AN17" i="19"/>
  <c r="AM30" i="19"/>
  <c r="AM32" i="13"/>
  <c r="AM36" i="19"/>
  <c r="AM38" i="19"/>
  <c r="AM40" i="13"/>
  <c r="AM45" i="13"/>
  <c r="AM48" i="19"/>
  <c r="AM50" i="19"/>
  <c r="AN54" i="19"/>
  <c r="AN56" i="13"/>
  <c r="AN58" i="19"/>
  <c r="AN63" i="13"/>
  <c r="AN66" i="13"/>
  <c r="AN68" i="19"/>
  <c r="AN72" i="19"/>
  <c r="AN74" i="19"/>
  <c r="AM79" i="13"/>
  <c r="AM86" i="13"/>
  <c r="AI18" i="13"/>
  <c r="AI22" i="13"/>
  <c r="AJ45" i="19"/>
  <c r="AJ50" i="13"/>
  <c r="AE32" i="13"/>
  <c r="AE36" i="13"/>
  <c r="AE46" i="19"/>
  <c r="AE46" i="13"/>
  <c r="AF67" i="19"/>
  <c r="AE87" i="13"/>
  <c r="AA15" i="19"/>
  <c r="AB29" i="13"/>
  <c r="AB35" i="19"/>
  <c r="AB43" i="19"/>
  <c r="AB45" i="19"/>
  <c r="AB47" i="19"/>
  <c r="F53" i="6"/>
  <c r="AA52" i="13" s="1"/>
  <c r="AA63" i="13"/>
  <c r="AA70" i="19"/>
  <c r="F91" i="6"/>
  <c r="AA90" i="13" s="1"/>
  <c r="X9" i="13"/>
  <c r="F27" i="7"/>
  <c r="W26" i="13" s="1"/>
  <c r="W42" i="19"/>
  <c r="W46" i="19"/>
  <c r="X53" i="13"/>
  <c r="X67" i="13"/>
  <c r="X75" i="19"/>
  <c r="F79" i="7"/>
  <c r="W78" i="13" s="1"/>
  <c r="S11" i="19"/>
  <c r="T28" i="19"/>
  <c r="T30" i="13"/>
  <c r="T42" i="19"/>
  <c r="T46" i="19"/>
  <c r="T50" i="19"/>
  <c r="S53" i="13"/>
  <c r="S57" i="13"/>
  <c r="S62" i="13"/>
  <c r="S69" i="19"/>
  <c r="S70" i="13"/>
  <c r="T79" i="19"/>
  <c r="T81" i="19"/>
  <c r="T81" i="13"/>
  <c r="P11" i="13"/>
  <c r="O31" i="13"/>
  <c r="O42" i="19"/>
  <c r="O43" i="19"/>
  <c r="O46" i="19"/>
  <c r="P53" i="19"/>
  <c r="P63" i="19"/>
  <c r="P67" i="19"/>
  <c r="P75" i="19"/>
  <c r="P80" i="19"/>
  <c r="P84" i="19"/>
  <c r="P85" i="19"/>
  <c r="P88" i="19"/>
  <c r="L28" i="19"/>
  <c r="L41" i="19"/>
  <c r="L46" i="13"/>
  <c r="K55" i="19"/>
  <c r="L85" i="13"/>
  <c r="H11" i="19"/>
  <c r="H13" i="19"/>
  <c r="H16" i="13"/>
  <c r="G38" i="13"/>
  <c r="H56" i="13"/>
  <c r="H62" i="19"/>
  <c r="G80" i="13"/>
  <c r="H95" i="13"/>
  <c r="C18" i="19"/>
  <c r="D31" i="19"/>
  <c r="D39" i="13"/>
  <c r="D47" i="13"/>
  <c r="D84" i="13"/>
  <c r="E8" i="8"/>
  <c r="T7" i="13" s="1"/>
  <c r="AM90" i="13"/>
  <c r="F27" i="4"/>
  <c r="AI26" i="13" s="1"/>
  <c r="F53" i="4"/>
  <c r="AI52" i="13" s="1"/>
  <c r="F91" i="4"/>
  <c r="AI90" i="13" s="1"/>
  <c r="E79" i="5"/>
  <c r="AF78" i="13" s="1"/>
  <c r="F79" i="1"/>
  <c r="AS78" i="13" s="1"/>
  <c r="E8" i="4"/>
  <c r="AJ7" i="13" s="1"/>
  <c r="F79" i="4"/>
  <c r="AI78" i="13" s="1"/>
  <c r="F53" i="5"/>
  <c r="AE52" i="13" s="1"/>
  <c r="F91" i="5"/>
  <c r="AE90" i="13" s="1"/>
  <c r="E8" i="6"/>
  <c r="AB7" i="13" s="1"/>
  <c r="E35" i="8"/>
  <c r="T34" i="13" s="1"/>
  <c r="F6" i="9"/>
  <c r="O5" i="13" s="1"/>
  <c r="E8" i="9"/>
  <c r="P7" i="13" s="1"/>
  <c r="F27" i="9"/>
  <c r="O26" i="13" s="1"/>
  <c r="E35" i="10"/>
  <c r="L34" i="13" s="1"/>
  <c r="E35" i="11"/>
  <c r="H34" i="13" s="1"/>
  <c r="E27" i="12"/>
  <c r="D26" i="13" s="1"/>
  <c r="F8" i="5"/>
  <c r="AE7" i="13" s="1"/>
  <c r="E35" i="1"/>
  <c r="E27" i="1"/>
  <c r="E27" i="4"/>
  <c r="AJ26" i="13" s="1"/>
  <c r="E79" i="6"/>
  <c r="AB78" i="13" s="1"/>
  <c r="E79" i="7"/>
  <c r="X78" i="13" s="1"/>
  <c r="E27" i="10"/>
  <c r="L26" i="13" s="1"/>
  <c r="E27" i="11"/>
  <c r="H26" i="13" s="1"/>
  <c r="F53" i="1"/>
  <c r="AS52" i="13" s="1"/>
  <c r="F21" i="1"/>
  <c r="AS20" i="13" s="1"/>
  <c r="E8" i="1"/>
  <c r="AT7" i="13" s="1"/>
  <c r="E79" i="4"/>
  <c r="AJ78" i="13" s="1"/>
  <c r="E8" i="5"/>
  <c r="AF7" i="13" s="1"/>
  <c r="E27" i="6"/>
  <c r="AB26" i="13" s="1"/>
  <c r="E27" i="7"/>
  <c r="X26" i="13" s="1"/>
  <c r="E27" i="8"/>
  <c r="T26" i="13" s="1"/>
  <c r="E53" i="9"/>
  <c r="P52" i="13" s="1"/>
  <c r="E79" i="10"/>
  <c r="L78" i="13" s="1"/>
  <c r="E35" i="12"/>
  <c r="D34" i="13" s="1"/>
  <c r="E35" i="2"/>
  <c r="AR34" i="13" s="1"/>
  <c r="F35" i="2"/>
  <c r="AQ34" i="13" s="1"/>
  <c r="E53" i="1"/>
  <c r="F6" i="1"/>
  <c r="AS5" i="13" s="1"/>
  <c r="F8" i="12"/>
  <c r="C7" i="13" s="1"/>
  <c r="F35" i="12"/>
  <c r="C34" i="13" s="1"/>
  <c r="E53" i="12"/>
  <c r="D52" i="13" s="1"/>
  <c r="F79" i="12"/>
  <c r="C78" i="13" s="1"/>
  <c r="E91" i="12"/>
  <c r="D90" i="13" s="1"/>
  <c r="F8" i="11"/>
  <c r="G7" i="13" s="1"/>
  <c r="F35" i="11"/>
  <c r="G34" i="13" s="1"/>
  <c r="E53" i="11"/>
  <c r="H52" i="13" s="1"/>
  <c r="F79" i="11"/>
  <c r="G78" i="13" s="1"/>
  <c r="E91" i="11"/>
  <c r="H90" i="13" s="1"/>
  <c r="F8" i="10"/>
  <c r="K7" i="13" s="1"/>
  <c r="F35" i="10"/>
  <c r="K34" i="13" s="1"/>
  <c r="E53" i="10"/>
  <c r="L52" i="13" s="1"/>
  <c r="E91" i="10"/>
  <c r="L90" i="13" s="1"/>
  <c r="E6" i="9"/>
  <c r="P5" i="13" s="1"/>
  <c r="F8" i="8"/>
  <c r="S7" i="13" s="1"/>
  <c r="F35" i="8"/>
  <c r="S34" i="13" s="1"/>
  <c r="E53" i="8"/>
  <c r="T52" i="13" s="1"/>
  <c r="F79" i="8"/>
  <c r="S78" i="13" s="1"/>
  <c r="E91" i="8"/>
  <c r="T90" i="13" s="1"/>
  <c r="F8" i="7"/>
  <c r="W7" i="13" s="1"/>
  <c r="F35" i="7"/>
  <c r="W34" i="13" s="1"/>
  <c r="E53" i="7"/>
  <c r="X52" i="13" s="1"/>
  <c r="E91" i="7"/>
  <c r="X90" i="13" s="1"/>
  <c r="E6" i="6"/>
  <c r="AB5" i="13" s="1"/>
  <c r="F8" i="6"/>
  <c r="AA7" i="13" s="1"/>
  <c r="E53" i="6"/>
  <c r="AB52" i="13" s="1"/>
  <c r="E91" i="6"/>
  <c r="AB90" i="13"/>
  <c r="E27" i="5"/>
  <c r="AF26" i="13" s="1"/>
  <c r="E53" i="5"/>
  <c r="AF52" i="13" s="1"/>
  <c r="F79" i="5"/>
  <c r="AE78" i="13" s="1"/>
  <c r="E91" i="5"/>
  <c r="AF90" i="13" s="1"/>
  <c r="F8" i="4"/>
  <c r="AI7" i="13" s="1"/>
  <c r="E53" i="4"/>
  <c r="AJ52" i="13" s="1"/>
  <c r="E91" i="4"/>
  <c r="AJ90" i="13" s="1"/>
  <c r="AM78" i="13"/>
  <c r="E6" i="2"/>
  <c r="AR5" i="13" s="1"/>
  <c r="F6" i="2"/>
  <c r="AQ5" i="13" s="1"/>
  <c r="E21" i="1"/>
  <c r="F6" i="6"/>
  <c r="AA5" i="13" s="1"/>
  <c r="E35" i="7"/>
  <c r="X34" i="13" s="1"/>
  <c r="E35" i="6"/>
  <c r="AB34" i="13" s="1"/>
  <c r="F35" i="6"/>
  <c r="AA34" i="13" s="1"/>
  <c r="E35" i="5"/>
  <c r="AF34" i="13" s="1"/>
  <c r="E35" i="4"/>
  <c r="AJ34" i="13" s="1"/>
  <c r="F35" i="4"/>
  <c r="AI34" i="13" s="1"/>
  <c r="E6" i="5"/>
  <c r="AF5" i="13" s="1"/>
  <c r="F6" i="5"/>
  <c r="AE5" i="13" s="1"/>
  <c r="F35" i="5"/>
  <c r="AE34" i="13" s="1"/>
  <c r="F35" i="9"/>
  <c r="O34" i="13" s="1"/>
  <c r="E35" i="9"/>
  <c r="P34" i="13" s="1"/>
  <c r="F35" i="1"/>
  <c r="AS34" i="13" s="1"/>
  <c r="E6" i="1"/>
  <c r="AT5" i="13" s="1"/>
  <c r="F5" i="1"/>
  <c r="AS4" i="13" s="1"/>
  <c r="F6" i="12"/>
  <c r="C5" i="13" s="1"/>
  <c r="E6" i="12"/>
  <c r="D5" i="13" s="1"/>
  <c r="F6" i="11"/>
  <c r="G5" i="13" s="1"/>
  <c r="E6" i="11"/>
  <c r="H5" i="13" s="1"/>
  <c r="F6" i="10"/>
  <c r="K5" i="13" s="1"/>
  <c r="E6" i="10"/>
  <c r="L5" i="13" s="1"/>
  <c r="F6" i="8"/>
  <c r="S5" i="13" s="1"/>
  <c r="E6" i="8"/>
  <c r="T5" i="13" s="1"/>
  <c r="F6" i="7"/>
  <c r="W5" i="13" s="1"/>
  <c r="E6" i="7"/>
  <c r="X5" i="13" s="1"/>
  <c r="F6" i="4"/>
  <c r="AI5" i="13" s="1"/>
  <c r="E6" i="4"/>
  <c r="AJ5" i="13" s="1"/>
  <c r="F5" i="9"/>
  <c r="O4" i="13" s="1"/>
  <c r="E5" i="1"/>
  <c r="AT4" i="13" s="1"/>
  <c r="E5" i="6"/>
  <c r="AB4" i="13" s="1"/>
  <c r="F5" i="6"/>
  <c r="AA4" i="13" s="1"/>
  <c r="E5" i="5"/>
  <c r="AF4" i="13" s="1"/>
  <c r="F5" i="5"/>
  <c r="AE4" i="13" s="1"/>
  <c r="E5" i="9"/>
  <c r="P4" i="13" s="1"/>
  <c r="E5" i="12"/>
  <c r="D4" i="13" s="1"/>
  <c r="F5" i="12"/>
  <c r="C4" i="13" s="1"/>
  <c r="E5" i="11"/>
  <c r="H4" i="13" s="1"/>
  <c r="F5" i="11"/>
  <c r="G4" i="13" s="1"/>
  <c r="E5" i="10"/>
  <c r="L4" i="13" s="1"/>
  <c r="F5" i="10"/>
  <c r="K4" i="13" s="1"/>
  <c r="E5" i="8"/>
  <c r="T4" i="13" s="1"/>
  <c r="F5" i="8"/>
  <c r="S4" i="13" s="1"/>
  <c r="E5" i="7"/>
  <c r="X4" i="13" s="1"/>
  <c r="F5" i="7"/>
  <c r="W4" i="13" s="1"/>
  <c r="E5" i="4"/>
  <c r="AJ4" i="13" s="1"/>
  <c r="F5" i="4"/>
  <c r="AI4" i="13" s="1"/>
  <c r="G87" i="13" l="1"/>
  <c r="G30" i="13"/>
  <c r="O27" i="13"/>
  <c r="P9" i="13"/>
  <c r="X73" i="13"/>
  <c r="S48" i="19"/>
  <c r="S38" i="19"/>
  <c r="X87" i="19"/>
  <c r="AE73" i="13"/>
  <c r="AJ70" i="13"/>
  <c r="G42" i="19"/>
  <c r="H21" i="19"/>
  <c r="H8" i="13"/>
  <c r="P79" i="19"/>
  <c r="P69" i="19"/>
  <c r="P55" i="19"/>
  <c r="O45" i="19"/>
  <c r="O37" i="19"/>
  <c r="P13" i="13"/>
  <c r="S12" i="19"/>
  <c r="X69" i="19"/>
  <c r="X62" i="19"/>
  <c r="AI68" i="19"/>
  <c r="AN69" i="19"/>
  <c r="AN37" i="13"/>
  <c r="D72" i="13"/>
  <c r="D58" i="19"/>
  <c r="C40" i="19"/>
  <c r="D14" i="19"/>
  <c r="H80" i="13"/>
  <c r="H47" i="13"/>
  <c r="G14" i="13"/>
  <c r="S42" i="19"/>
  <c r="T8" i="13"/>
  <c r="X83" i="19"/>
  <c r="AA81" i="13"/>
  <c r="AJ18" i="19"/>
  <c r="AJ10" i="19"/>
  <c r="AM11" i="19"/>
  <c r="AQ42" i="13"/>
  <c r="G50" i="19"/>
  <c r="K74" i="19"/>
  <c r="P73" i="19"/>
  <c r="O49" i="19"/>
  <c r="X91" i="19"/>
  <c r="AJ46" i="19"/>
  <c r="AQ18" i="13"/>
  <c r="G46" i="13"/>
  <c r="G28" i="13"/>
  <c r="P92" i="19"/>
  <c r="P71" i="19"/>
  <c r="P62" i="19"/>
  <c r="O41" i="19"/>
  <c r="P17" i="13"/>
  <c r="X71" i="19"/>
  <c r="X64" i="13"/>
  <c r="AA73" i="13"/>
  <c r="AJ84" i="19"/>
  <c r="AI10" i="19"/>
  <c r="AM27" i="19"/>
  <c r="C79" i="19"/>
  <c r="C42" i="19"/>
  <c r="G61" i="19"/>
  <c r="H37" i="19"/>
  <c r="P46" i="13"/>
  <c r="S36" i="19"/>
  <c r="X85" i="19"/>
  <c r="W8" i="19"/>
  <c r="AA83" i="13"/>
  <c r="AE18" i="13"/>
  <c r="AM17" i="19"/>
  <c r="AQ38" i="13"/>
  <c r="G66" i="19"/>
  <c r="L81" i="13"/>
  <c r="L95" i="19"/>
  <c r="K30" i="19"/>
  <c r="K54" i="19"/>
  <c r="K10" i="13"/>
  <c r="K70" i="19"/>
  <c r="L49" i="19"/>
  <c r="L87" i="13"/>
  <c r="L83" i="19"/>
  <c r="K63" i="19"/>
  <c r="L31" i="19"/>
  <c r="K79" i="19"/>
  <c r="L35" i="13"/>
  <c r="L43" i="13"/>
  <c r="K37" i="19"/>
  <c r="L75" i="19"/>
  <c r="L67" i="19"/>
  <c r="K72" i="19"/>
  <c r="K16" i="13"/>
  <c r="L23" i="19"/>
  <c r="K8" i="13"/>
  <c r="K61" i="19"/>
  <c r="P49" i="13"/>
  <c r="O74" i="19"/>
  <c r="O63" i="19"/>
  <c r="P64" i="19"/>
  <c r="P47" i="13"/>
  <c r="P43" i="13"/>
  <c r="O35" i="19"/>
  <c r="P35" i="13"/>
  <c r="O36" i="19"/>
  <c r="P54" i="19"/>
  <c r="O54" i="19"/>
  <c r="P31" i="19"/>
  <c r="P29" i="19"/>
  <c r="P21" i="13"/>
  <c r="P14" i="13"/>
  <c r="O14" i="19"/>
  <c r="P22" i="13"/>
  <c r="P10" i="13"/>
  <c r="O10" i="19"/>
  <c r="T92" i="13"/>
  <c r="S71" i="13"/>
  <c r="S46" i="19"/>
  <c r="T44" i="19"/>
  <c r="S44" i="19"/>
  <c r="S23" i="19"/>
  <c r="S58" i="19"/>
  <c r="T29" i="19"/>
  <c r="AF66" i="19"/>
  <c r="AM64" i="13"/>
  <c r="O92" i="19"/>
  <c r="O73" i="19"/>
  <c r="P50" i="13"/>
  <c r="P44" i="13"/>
  <c r="AF28" i="13"/>
  <c r="AN42" i="13"/>
  <c r="AM22" i="13"/>
  <c r="C64" i="13"/>
  <c r="D30" i="19"/>
  <c r="G83" i="13"/>
  <c r="K64" i="19"/>
  <c r="P83" i="19"/>
  <c r="P56" i="19"/>
  <c r="O50" i="19"/>
  <c r="O44" i="19"/>
  <c r="O38" i="19"/>
  <c r="P18" i="13"/>
  <c r="P12" i="13"/>
  <c r="T86" i="13"/>
  <c r="S66" i="13"/>
  <c r="S16" i="19"/>
  <c r="S10" i="19"/>
  <c r="W38" i="19"/>
  <c r="AA54" i="13"/>
  <c r="AA11" i="19"/>
  <c r="AE50" i="19"/>
  <c r="AE42" i="13"/>
  <c r="AE28" i="19"/>
  <c r="AJ47" i="19"/>
  <c r="AN73" i="19"/>
  <c r="AM49" i="19"/>
  <c r="AM39" i="13"/>
  <c r="AM31" i="19"/>
  <c r="AN14" i="19"/>
  <c r="AN38" i="13"/>
  <c r="G15" i="13"/>
  <c r="L69" i="19"/>
  <c r="L55" i="19"/>
  <c r="O64" i="19"/>
  <c r="O55" i="19"/>
  <c r="P38" i="13"/>
  <c r="O22" i="19"/>
  <c r="O9" i="19"/>
  <c r="S35" i="13"/>
  <c r="AE22" i="13"/>
  <c r="AI86" i="13"/>
  <c r="AJ55" i="19"/>
  <c r="AN84" i="13"/>
  <c r="AN28" i="13"/>
  <c r="AM8" i="19"/>
  <c r="AQ46" i="13"/>
  <c r="S18" i="19"/>
  <c r="AJ41" i="19"/>
  <c r="G55" i="19"/>
  <c r="L71" i="19"/>
  <c r="L62" i="19"/>
  <c r="O17" i="19"/>
  <c r="S87" i="19"/>
  <c r="AJ64" i="19"/>
  <c r="AN88" i="19"/>
  <c r="H23" i="13"/>
  <c r="K53" i="19"/>
  <c r="L42" i="13"/>
  <c r="L30" i="19"/>
  <c r="K9" i="19"/>
  <c r="P87" i="19"/>
  <c r="P72" i="19"/>
  <c r="S63" i="13"/>
  <c r="S14" i="19"/>
  <c r="W50" i="19"/>
  <c r="AA72" i="13"/>
  <c r="AE48" i="13"/>
  <c r="AE38" i="19"/>
  <c r="AM83" i="13"/>
  <c r="AN64" i="13"/>
  <c r="AN55" i="13"/>
  <c r="AN12" i="13"/>
  <c r="D17" i="19"/>
  <c r="K45" i="19"/>
  <c r="L17" i="13"/>
  <c r="O87" i="19"/>
  <c r="P42" i="13"/>
  <c r="P36" i="13"/>
  <c r="O13" i="19"/>
  <c r="T62" i="19"/>
  <c r="W13" i="13"/>
  <c r="AI80" i="19"/>
  <c r="AM16" i="13"/>
  <c r="AQ50" i="19"/>
  <c r="W79" i="13"/>
  <c r="W28" i="13"/>
  <c r="X17" i="19"/>
  <c r="X22" i="19"/>
  <c r="AM62" i="13"/>
  <c r="AI43" i="13"/>
  <c r="AI43" i="19"/>
  <c r="AI53" i="13"/>
  <c r="AI53" i="19"/>
  <c r="AI75" i="13"/>
  <c r="AI75" i="19"/>
  <c r="AE30" i="13"/>
  <c r="AE30" i="19"/>
  <c r="AE40" i="19"/>
  <c r="AE40" i="13"/>
  <c r="AE44" i="19"/>
  <c r="AE44" i="13"/>
  <c r="AE54" i="19"/>
  <c r="AE54" i="13"/>
  <c r="AE58" i="19"/>
  <c r="AE58" i="13"/>
  <c r="AA38" i="19"/>
  <c r="AA38" i="13"/>
  <c r="AA42" i="13"/>
  <c r="AA42" i="19"/>
  <c r="AA46" i="19"/>
  <c r="AA46" i="13"/>
  <c r="AA56" i="19"/>
  <c r="AA56" i="13"/>
  <c r="AA61" i="13"/>
  <c r="AA61" i="19"/>
  <c r="W11" i="19"/>
  <c r="W11" i="13"/>
  <c r="X54" i="19"/>
  <c r="X54" i="13"/>
  <c r="X92" i="13"/>
  <c r="X92" i="19"/>
  <c r="G85" i="13"/>
  <c r="AN40" i="13"/>
  <c r="AJ36" i="13"/>
  <c r="AJ36" i="19"/>
  <c r="AJ48" i="19"/>
  <c r="AJ48" i="13"/>
  <c r="AI81" i="13"/>
  <c r="AI81" i="19"/>
  <c r="AE12" i="19"/>
  <c r="AE12" i="13"/>
  <c r="AE16" i="13"/>
  <c r="AE16" i="19"/>
  <c r="G48" i="19"/>
  <c r="AN75" i="19"/>
  <c r="AQ41" i="13"/>
  <c r="AQ41" i="19"/>
  <c r="AQ17" i="19"/>
  <c r="AQ17" i="13"/>
  <c r="G36" i="19"/>
  <c r="G36" i="13"/>
  <c r="H54" i="19"/>
  <c r="H54" i="13"/>
  <c r="AN91" i="19"/>
  <c r="AN91" i="13"/>
  <c r="AN71" i="13"/>
  <c r="AN71" i="19"/>
  <c r="AN62" i="19"/>
  <c r="AN62" i="13"/>
  <c r="AM43" i="19"/>
  <c r="AM43" i="13"/>
  <c r="AM29" i="13"/>
  <c r="AM29" i="19"/>
  <c r="AI57" i="13"/>
  <c r="G12" i="13"/>
  <c r="G12" i="19"/>
  <c r="H45" i="13"/>
  <c r="H45" i="19"/>
  <c r="H49" i="19"/>
  <c r="H49" i="13"/>
  <c r="H86" i="13"/>
  <c r="W15" i="19"/>
  <c r="AA28" i="19"/>
  <c r="P15" i="19"/>
  <c r="P15" i="13"/>
  <c r="O29" i="19"/>
  <c r="O29" i="13"/>
  <c r="O39" i="13"/>
  <c r="O39" i="19"/>
  <c r="O47" i="13"/>
  <c r="O47" i="19"/>
  <c r="P57" i="13"/>
  <c r="P57" i="19"/>
  <c r="O80" i="13"/>
  <c r="O80" i="19"/>
  <c r="K14" i="19"/>
  <c r="K14" i="13"/>
  <c r="K18" i="19"/>
  <c r="K18" i="13"/>
  <c r="K66" i="13"/>
  <c r="K66" i="19"/>
  <c r="C88" i="13"/>
  <c r="C88" i="19"/>
  <c r="AM71" i="19"/>
  <c r="AM71" i="13"/>
  <c r="G44" i="19"/>
  <c r="G44" i="13"/>
  <c r="AM85" i="13"/>
  <c r="AM85" i="19"/>
  <c r="AM81" i="13"/>
  <c r="AM81" i="19"/>
  <c r="H58" i="19"/>
  <c r="G21" i="19"/>
  <c r="G21" i="13"/>
  <c r="H27" i="19"/>
  <c r="H27" i="13"/>
  <c r="H31" i="19"/>
  <c r="H31" i="13"/>
  <c r="H91" i="19"/>
  <c r="G40" i="19"/>
  <c r="AM10" i="13"/>
  <c r="AB74" i="19"/>
  <c r="AB74" i="13"/>
  <c r="X11" i="19"/>
  <c r="X11" i="13"/>
  <c r="X15" i="13"/>
  <c r="X15" i="19"/>
  <c r="W53" i="13"/>
  <c r="W53" i="19"/>
  <c r="W57" i="13"/>
  <c r="W57" i="19"/>
  <c r="W81" i="13"/>
  <c r="W81" i="19"/>
  <c r="W91" i="19"/>
  <c r="W91" i="13"/>
  <c r="S21" i="19"/>
  <c r="S21" i="13"/>
  <c r="S85" i="13"/>
  <c r="S85" i="19"/>
  <c r="O11" i="13"/>
  <c r="O11" i="19"/>
  <c r="O15" i="13"/>
  <c r="O15" i="19"/>
  <c r="P30" i="13"/>
  <c r="P30" i="19"/>
  <c r="P40" i="19"/>
  <c r="P40" i="13"/>
  <c r="P48" i="19"/>
  <c r="P48" i="13"/>
  <c r="O57" i="13"/>
  <c r="O57" i="19"/>
  <c r="O62" i="13"/>
  <c r="O62" i="19"/>
  <c r="O67" i="13"/>
  <c r="O67" i="19"/>
  <c r="O71" i="13"/>
  <c r="O71" i="19"/>
  <c r="O75" i="13"/>
  <c r="O75" i="19"/>
  <c r="P81" i="13"/>
  <c r="P81" i="19"/>
  <c r="H75" i="19"/>
  <c r="L40" i="13"/>
  <c r="K22" i="13"/>
  <c r="AB41" i="19"/>
  <c r="C38" i="19"/>
  <c r="L73" i="13"/>
  <c r="L64" i="13"/>
  <c r="O85" i="19"/>
  <c r="H67" i="19"/>
  <c r="H14" i="13"/>
  <c r="L48" i="13"/>
  <c r="L36" i="13"/>
  <c r="K17" i="19"/>
  <c r="P68" i="19"/>
  <c r="O28" i="13"/>
  <c r="T88" i="13"/>
  <c r="T36" i="19"/>
  <c r="W31" i="13"/>
  <c r="AA91" i="13"/>
  <c r="AB37" i="19"/>
  <c r="AE79" i="19"/>
  <c r="AE27" i="19"/>
  <c r="AJ27" i="13"/>
  <c r="AN70" i="19"/>
  <c r="AM13" i="19"/>
  <c r="AQ73" i="13"/>
  <c r="D68" i="19"/>
  <c r="C30" i="13"/>
  <c r="G92" i="19"/>
  <c r="H46" i="13"/>
  <c r="G22" i="19"/>
  <c r="G9" i="13"/>
  <c r="L21" i="19"/>
  <c r="O68" i="19"/>
  <c r="O16" i="19"/>
  <c r="O8" i="19"/>
  <c r="T69" i="19"/>
  <c r="T12" i="13"/>
  <c r="W72" i="19"/>
  <c r="W21" i="19"/>
  <c r="AE64" i="13"/>
  <c r="AM70" i="13"/>
  <c r="AQ80" i="19"/>
  <c r="K5" i="3"/>
  <c r="AK4" i="13" s="1"/>
  <c r="K57" i="19"/>
  <c r="L44" i="13"/>
  <c r="P86" i="19"/>
  <c r="P74" i="19"/>
  <c r="P66" i="19"/>
  <c r="P23" i="13"/>
  <c r="T84" i="13"/>
  <c r="T48" i="19"/>
  <c r="AB49" i="19"/>
  <c r="AB31" i="13"/>
  <c r="AI21" i="19"/>
  <c r="C87" i="19"/>
  <c r="C50" i="19"/>
  <c r="D21" i="19"/>
  <c r="G17" i="13"/>
  <c r="K80" i="19"/>
  <c r="P45" i="13"/>
  <c r="P37" i="13"/>
  <c r="P27" i="19"/>
  <c r="T55" i="19"/>
  <c r="AE9" i="19"/>
  <c r="AQ30" i="13"/>
  <c r="L50" i="13"/>
  <c r="P70" i="19"/>
  <c r="P61" i="19"/>
  <c r="O30" i="13"/>
  <c r="T40" i="19"/>
  <c r="D56" i="13"/>
  <c r="D16" i="13"/>
  <c r="D8" i="13"/>
  <c r="C1" i="21"/>
  <c r="H71" i="19"/>
  <c r="L38" i="13"/>
  <c r="P91" i="19"/>
  <c r="P58" i="19"/>
  <c r="O48" i="19"/>
  <c r="O40" i="19"/>
  <c r="P16" i="13"/>
  <c r="P8" i="13"/>
  <c r="S55" i="13"/>
  <c r="T38" i="19"/>
  <c r="AB39" i="19"/>
  <c r="AJ49" i="19"/>
  <c r="AN61" i="13"/>
  <c r="AM46" i="13"/>
  <c r="AQ57" i="13"/>
  <c r="C36" i="19"/>
  <c r="H83" i="13"/>
  <c r="G11" i="13"/>
  <c r="O83" i="19"/>
  <c r="O58" i="19"/>
  <c r="T75" i="19"/>
  <c r="T16" i="13"/>
  <c r="X31" i="19"/>
  <c r="AA79" i="19"/>
  <c r="AE67" i="13"/>
  <c r="AE15" i="19"/>
  <c r="AA50" i="19"/>
  <c r="AB27" i="13"/>
  <c r="AA23" i="13"/>
  <c r="AB85" i="19"/>
  <c r="AB40" i="19"/>
  <c r="AA75" i="13"/>
  <c r="AA69" i="13"/>
  <c r="AA85" i="13"/>
  <c r="AB22" i="19"/>
  <c r="AA62" i="13"/>
  <c r="AA53" i="19"/>
  <c r="AB68" i="13"/>
  <c r="AA21" i="13"/>
  <c r="I14" i="20"/>
  <c r="AE85" i="13"/>
  <c r="AE83" i="13"/>
  <c r="AE81" i="19"/>
  <c r="AF71" i="19"/>
  <c r="AF56" i="19"/>
  <c r="AE56" i="13"/>
  <c r="AE17" i="19"/>
  <c r="AE14" i="13"/>
  <c r="AE10" i="13"/>
  <c r="AE84" i="19"/>
  <c r="AE80" i="13"/>
  <c r="AF22" i="13"/>
  <c r="AE57" i="13"/>
  <c r="AE21" i="19"/>
  <c r="AE11" i="19"/>
  <c r="AF57" i="19"/>
  <c r="AE29" i="13"/>
  <c r="AE23" i="19"/>
  <c r="AE13" i="19"/>
  <c r="D92" i="13"/>
  <c r="D11" i="19"/>
  <c r="D57" i="13"/>
  <c r="D55" i="13"/>
  <c r="D53" i="13"/>
  <c r="C47" i="19"/>
  <c r="D44" i="13"/>
  <c r="D95" i="19"/>
  <c r="C35" i="19"/>
  <c r="D9" i="19"/>
  <c r="AE86" i="19"/>
  <c r="AE88" i="19"/>
  <c r="AF16" i="13"/>
  <c r="AE92" i="19"/>
  <c r="AE70" i="13"/>
  <c r="AE61" i="13"/>
  <c r="AF41" i="19"/>
  <c r="AF75" i="19"/>
  <c r="AF62" i="19"/>
  <c r="AE31" i="13"/>
  <c r="AF8" i="13"/>
  <c r="AF81" i="19"/>
  <c r="AE68" i="13"/>
  <c r="AE55" i="19"/>
  <c r="AT86" i="13"/>
  <c r="AT86" i="19"/>
  <c r="AT82" i="13"/>
  <c r="AT82" i="19"/>
  <c r="AT78" i="13"/>
  <c r="AT78" i="19"/>
  <c r="AT59" i="13"/>
  <c r="AT59" i="19"/>
  <c r="AT15" i="13"/>
  <c r="AT15" i="19"/>
  <c r="AT11" i="13"/>
  <c r="AT11" i="19"/>
  <c r="AI35" i="19"/>
  <c r="AI35" i="13"/>
  <c r="AB12" i="13"/>
  <c r="AB12" i="19"/>
  <c r="AB18" i="13"/>
  <c r="AB18" i="19"/>
  <c r="X30" i="19"/>
  <c r="X30" i="13"/>
  <c r="T63" i="13"/>
  <c r="T63" i="19"/>
  <c r="S81" i="19"/>
  <c r="S81" i="13"/>
  <c r="K84" i="13"/>
  <c r="K84" i="19"/>
  <c r="A1" i="21"/>
  <c r="H9" i="3"/>
  <c r="H9" i="4" s="1"/>
  <c r="H9" i="5" s="1"/>
  <c r="AS8" i="19"/>
  <c r="H13" i="3"/>
  <c r="AS12" i="19"/>
  <c r="H17" i="3"/>
  <c r="H17" i="4" s="1"/>
  <c r="H17" i="5" s="1"/>
  <c r="H17" i="6" s="1"/>
  <c r="H17" i="7" s="1"/>
  <c r="H17" i="8" s="1"/>
  <c r="H17" i="9" s="1"/>
  <c r="H17" i="10" s="1"/>
  <c r="H17" i="11" s="1"/>
  <c r="H17" i="12" s="1"/>
  <c r="AS16" i="19"/>
  <c r="H23" i="3"/>
  <c r="H23" i="4" s="1"/>
  <c r="AS22" i="19"/>
  <c r="H29" i="3"/>
  <c r="H29" i="4" s="1"/>
  <c r="H29" i="5" s="1"/>
  <c r="H29" i="6" s="1"/>
  <c r="H29" i="7" s="1"/>
  <c r="H29" i="8" s="1"/>
  <c r="H29" i="9" s="1"/>
  <c r="H29" i="10" s="1"/>
  <c r="H29" i="11" s="1"/>
  <c r="H29" i="12" s="1"/>
  <c r="AS28" i="19"/>
  <c r="H33" i="3"/>
  <c r="AS32" i="19"/>
  <c r="H39" i="3"/>
  <c r="H39" i="4" s="1"/>
  <c r="H39" i="5" s="1"/>
  <c r="H39" i="6" s="1"/>
  <c r="H39" i="7" s="1"/>
  <c r="H39" i="8" s="1"/>
  <c r="H39" i="9" s="1"/>
  <c r="H39" i="10" s="1"/>
  <c r="H39" i="11" s="1"/>
  <c r="H39" i="12" s="1"/>
  <c r="AS38" i="19"/>
  <c r="H43" i="3"/>
  <c r="H43" i="4" s="1"/>
  <c r="H43" i="5" s="1"/>
  <c r="H43" i="6" s="1"/>
  <c r="H43" i="7" s="1"/>
  <c r="H43" i="8" s="1"/>
  <c r="H43" i="9" s="1"/>
  <c r="H43" i="10" s="1"/>
  <c r="H43" i="11" s="1"/>
  <c r="H43" i="12" s="1"/>
  <c r="AS42" i="19"/>
  <c r="H47" i="3"/>
  <c r="H47" i="4" s="1"/>
  <c r="H47" i="5" s="1"/>
  <c r="H47" i="6" s="1"/>
  <c r="H47" i="7" s="1"/>
  <c r="H47" i="8" s="1"/>
  <c r="H47" i="9" s="1"/>
  <c r="H47" i="10" s="1"/>
  <c r="H47" i="11" s="1"/>
  <c r="H47" i="12" s="1"/>
  <c r="AS46" i="19"/>
  <c r="H51" i="3"/>
  <c r="H51" i="4" s="1"/>
  <c r="H51" i="5" s="1"/>
  <c r="H51" i="6" s="1"/>
  <c r="H51" i="7" s="1"/>
  <c r="H51" i="8" s="1"/>
  <c r="H51" i="9" s="1"/>
  <c r="H51" i="10" s="1"/>
  <c r="H51" i="11" s="1"/>
  <c r="H51" i="12" s="1"/>
  <c r="AS50" i="19"/>
  <c r="H57" i="3"/>
  <c r="H57" i="4" s="1"/>
  <c r="H57" i="5" s="1"/>
  <c r="H57" i="6" s="1"/>
  <c r="H57" i="7" s="1"/>
  <c r="H57" i="8" s="1"/>
  <c r="H57" i="9" s="1"/>
  <c r="H57" i="10" s="1"/>
  <c r="H57" i="11" s="1"/>
  <c r="H57" i="12" s="1"/>
  <c r="AS56" i="19"/>
  <c r="H62" i="3"/>
  <c r="H62" i="4" s="1"/>
  <c r="H62" i="5" s="1"/>
  <c r="H62" i="6" s="1"/>
  <c r="H62" i="7" s="1"/>
  <c r="H62" i="8" s="1"/>
  <c r="H62" i="9" s="1"/>
  <c r="H62" i="10" s="1"/>
  <c r="H62" i="11" s="1"/>
  <c r="H62" i="12" s="1"/>
  <c r="AS61" i="19"/>
  <c r="H67" i="3"/>
  <c r="J67" i="3" s="1"/>
  <c r="AS66" i="19"/>
  <c r="H71" i="3"/>
  <c r="AS70" i="19"/>
  <c r="H75" i="3"/>
  <c r="H75" i="4" s="1"/>
  <c r="H75" i="5" s="1"/>
  <c r="H75" i="6" s="1"/>
  <c r="H75" i="7" s="1"/>
  <c r="H75" i="8" s="1"/>
  <c r="H75" i="9" s="1"/>
  <c r="H75" i="10" s="1"/>
  <c r="H75" i="11" s="1"/>
  <c r="H75" i="12" s="1"/>
  <c r="AS74" i="19"/>
  <c r="H82" i="3"/>
  <c r="AS81" i="19"/>
  <c r="H86" i="3"/>
  <c r="H86" i="4" s="1"/>
  <c r="H86" i="5" s="1"/>
  <c r="AS85" i="19"/>
  <c r="H92" i="3"/>
  <c r="AS91" i="19"/>
  <c r="AT20" i="13"/>
  <c r="AT20" i="19"/>
  <c r="L79" i="13"/>
  <c r="K23" i="19"/>
  <c r="T85" i="19"/>
  <c r="X10" i="13"/>
  <c r="AF17" i="13"/>
  <c r="AJ86" i="13"/>
  <c r="AI74" i="13"/>
  <c r="AI54" i="13"/>
  <c r="AI15" i="13"/>
  <c r="O86" i="19"/>
  <c r="O81" i="19"/>
  <c r="T64" i="19"/>
  <c r="T53" i="19"/>
  <c r="W55" i="19"/>
  <c r="X28" i="13"/>
  <c r="AB13" i="19"/>
  <c r="AI28" i="13"/>
  <c r="AE62" i="19"/>
  <c r="AE62" i="13"/>
  <c r="AE69" i="19"/>
  <c r="AE69" i="13"/>
  <c r="AE71" i="19"/>
  <c r="AE71" i="13"/>
  <c r="AB75" i="19"/>
  <c r="AB75" i="13"/>
  <c r="T22" i="19"/>
  <c r="T22" i="13"/>
  <c r="L13" i="19"/>
  <c r="L13" i="13"/>
  <c r="K35" i="13"/>
  <c r="K35" i="19"/>
  <c r="L53" i="13"/>
  <c r="L53" i="19"/>
  <c r="H29" i="19"/>
  <c r="H29" i="13"/>
  <c r="H35" i="19"/>
  <c r="H35" i="13"/>
  <c r="H41" i="19"/>
  <c r="H41" i="13"/>
  <c r="G53" i="3"/>
  <c r="G53" i="4" s="1"/>
  <c r="K53" i="4" s="1"/>
  <c r="AG52" i="13" s="1"/>
  <c r="AR52" i="19"/>
  <c r="G27" i="3"/>
  <c r="G27" i="4" s="1"/>
  <c r="G27" i="5" s="1"/>
  <c r="G27" i="6" s="1"/>
  <c r="K27" i="6" s="1"/>
  <c r="Y26" i="13" s="1"/>
  <c r="AR26" i="19"/>
  <c r="K88" i="2"/>
  <c r="AO87" i="13" s="1"/>
  <c r="AR87" i="19"/>
  <c r="G73" i="3"/>
  <c r="G73" i="4" s="1"/>
  <c r="K73" i="4" s="1"/>
  <c r="AR72" i="19"/>
  <c r="G64" i="3"/>
  <c r="G64" i="4" s="1"/>
  <c r="G64" i="5" s="1"/>
  <c r="G64" i="6" s="1"/>
  <c r="AR63" i="19"/>
  <c r="K55" i="2"/>
  <c r="AO54" i="19" s="1"/>
  <c r="AR54" i="19"/>
  <c r="K49" i="2"/>
  <c r="AO48" i="19" s="1"/>
  <c r="AR48" i="19"/>
  <c r="K41" i="2"/>
  <c r="AO40" i="13" s="1"/>
  <c r="AR40" i="19"/>
  <c r="G37" i="3"/>
  <c r="G37" i="4" s="1"/>
  <c r="G37" i="5" s="1"/>
  <c r="AR36" i="19"/>
  <c r="G31" i="3"/>
  <c r="G31" i="4" s="1"/>
  <c r="K31" i="4" s="1"/>
  <c r="AG30" i="13" s="1"/>
  <c r="AR30" i="19"/>
  <c r="K25" i="2"/>
  <c r="AO24" i="13" s="1"/>
  <c r="AR24" i="19"/>
  <c r="G19" i="3"/>
  <c r="K19" i="3" s="1"/>
  <c r="AK18" i="19" s="1"/>
  <c r="AR18" i="19"/>
  <c r="G11" i="3"/>
  <c r="G11" i="4" s="1"/>
  <c r="J11" i="4" s="1"/>
  <c r="AH10" i="19" s="1"/>
  <c r="AR10" i="19"/>
  <c r="AT26" i="13"/>
  <c r="AT26" i="19"/>
  <c r="AT64" i="13"/>
  <c r="AT93" i="13"/>
  <c r="AT93" i="19"/>
  <c r="AT84" i="13"/>
  <c r="AT84" i="19"/>
  <c r="AT80" i="13"/>
  <c r="AT80" i="19"/>
  <c r="AT71" i="13"/>
  <c r="AT71" i="19"/>
  <c r="AT67" i="13"/>
  <c r="AT67" i="19"/>
  <c r="AT57" i="13"/>
  <c r="AT57" i="19"/>
  <c r="AT53" i="13"/>
  <c r="AT53" i="19"/>
  <c r="AT9" i="13"/>
  <c r="AT9" i="19"/>
  <c r="AJ21" i="19"/>
  <c r="AJ21" i="13"/>
  <c r="AI48" i="13"/>
  <c r="AI48" i="19"/>
  <c r="AJ92" i="13"/>
  <c r="AJ92" i="19"/>
  <c r="X37" i="19"/>
  <c r="X37" i="13"/>
  <c r="X49" i="13"/>
  <c r="X49" i="19"/>
  <c r="T67" i="13"/>
  <c r="T67" i="19"/>
  <c r="T71" i="13"/>
  <c r="T71" i="19"/>
  <c r="T73" i="13"/>
  <c r="T73" i="19"/>
  <c r="H11" i="3"/>
  <c r="H11" i="4" s="1"/>
  <c r="AS10" i="19"/>
  <c r="H15" i="3"/>
  <c r="H15" i="4" s="1"/>
  <c r="H15" i="5" s="1"/>
  <c r="H15" i="6" s="1"/>
  <c r="H15" i="7" s="1"/>
  <c r="H15" i="8" s="1"/>
  <c r="H15" i="9" s="1"/>
  <c r="H15" i="10" s="1"/>
  <c r="H15" i="11" s="1"/>
  <c r="H15" i="12" s="1"/>
  <c r="AS14" i="19"/>
  <c r="H19" i="3"/>
  <c r="H19" i="4" s="1"/>
  <c r="AS18" i="19"/>
  <c r="H25" i="3"/>
  <c r="H25" i="4" s="1"/>
  <c r="H25" i="5" s="1"/>
  <c r="H25" i="6" s="1"/>
  <c r="H25" i="7" s="1"/>
  <c r="H25" i="8" s="1"/>
  <c r="H25" i="9" s="1"/>
  <c r="H25" i="10" s="1"/>
  <c r="H25" i="11" s="1"/>
  <c r="H25" i="12" s="1"/>
  <c r="AS24" i="19"/>
  <c r="H31" i="3"/>
  <c r="AS30" i="19"/>
  <c r="H37" i="3"/>
  <c r="H37" i="4" s="1"/>
  <c r="AS36" i="19"/>
  <c r="H41" i="3"/>
  <c r="H41" i="4" s="1"/>
  <c r="H41" i="5" s="1"/>
  <c r="H41" i="6" s="1"/>
  <c r="H41" i="7" s="1"/>
  <c r="H41" i="8" s="1"/>
  <c r="H41" i="9" s="1"/>
  <c r="H41" i="10" s="1"/>
  <c r="H41" i="11" s="1"/>
  <c r="H41" i="12" s="1"/>
  <c r="AS40" i="19"/>
  <c r="H45" i="3"/>
  <c r="H45" i="4" s="1"/>
  <c r="H45" i="5" s="1"/>
  <c r="H45" i="6" s="1"/>
  <c r="H45" i="7" s="1"/>
  <c r="H45" i="8" s="1"/>
  <c r="AS44" i="19"/>
  <c r="H49" i="3"/>
  <c r="H49" i="4" s="1"/>
  <c r="H49" i="5" s="1"/>
  <c r="H49" i="6" s="1"/>
  <c r="H49" i="7" s="1"/>
  <c r="H49" i="8" s="1"/>
  <c r="H49" i="9" s="1"/>
  <c r="H49" i="10" s="1"/>
  <c r="H49" i="11" s="1"/>
  <c r="H49" i="12" s="1"/>
  <c r="AS48" i="19"/>
  <c r="H55" i="3"/>
  <c r="H55" i="4" s="1"/>
  <c r="H55" i="5" s="1"/>
  <c r="H55" i="6" s="1"/>
  <c r="H55" i="7" s="1"/>
  <c r="H55" i="8" s="1"/>
  <c r="H55" i="9" s="1"/>
  <c r="H55" i="10" s="1"/>
  <c r="H55" i="11" s="1"/>
  <c r="H55" i="12" s="1"/>
  <c r="AS54" i="19"/>
  <c r="H59" i="3"/>
  <c r="H59" i="4" s="1"/>
  <c r="H59" i="5" s="1"/>
  <c r="H59" i="6" s="1"/>
  <c r="H59" i="7" s="1"/>
  <c r="H59" i="8" s="1"/>
  <c r="H59" i="9" s="1"/>
  <c r="H59" i="10" s="1"/>
  <c r="H59" i="11" s="1"/>
  <c r="H59" i="12" s="1"/>
  <c r="AS58" i="19"/>
  <c r="H64" i="3"/>
  <c r="H64" i="4" s="1"/>
  <c r="AS63" i="19"/>
  <c r="H69" i="3"/>
  <c r="AS68" i="19"/>
  <c r="H73" i="3"/>
  <c r="H73" i="4" s="1"/>
  <c r="H73" i="5" s="1"/>
  <c r="H73" i="6" s="1"/>
  <c r="H73" i="7" s="1"/>
  <c r="H73" i="8" s="1"/>
  <c r="H73" i="9" s="1"/>
  <c r="H73" i="10" s="1"/>
  <c r="H73" i="11" s="1"/>
  <c r="H73" i="12" s="1"/>
  <c r="AS72" i="19"/>
  <c r="H84" i="3"/>
  <c r="H84" i="4" s="1"/>
  <c r="H84" i="5" s="1"/>
  <c r="H84" i="6" s="1"/>
  <c r="H84" i="7" s="1"/>
  <c r="H84" i="8" s="1"/>
  <c r="H84" i="9" s="1"/>
  <c r="H84" i="10" s="1"/>
  <c r="H84" i="11" s="1"/>
  <c r="H84" i="12" s="1"/>
  <c r="AS83" i="19"/>
  <c r="H88" i="3"/>
  <c r="H88" i="4" s="1"/>
  <c r="H88" i="5" s="1"/>
  <c r="H88" i="6" s="1"/>
  <c r="H88" i="7" s="1"/>
  <c r="H88" i="8" s="1"/>
  <c r="H88" i="9" s="1"/>
  <c r="H88" i="10" s="1"/>
  <c r="H88" i="11" s="1"/>
  <c r="H88" i="12" s="1"/>
  <c r="AS87" i="19"/>
  <c r="H94" i="3"/>
  <c r="H94" i="4" s="1"/>
  <c r="H94" i="5" s="1"/>
  <c r="H94" i="6" s="1"/>
  <c r="H94" i="7" s="1"/>
  <c r="H94" i="8" s="1"/>
  <c r="H94" i="9" s="1"/>
  <c r="H94" i="10" s="1"/>
  <c r="H94" i="11" s="1"/>
  <c r="H94" i="12" s="1"/>
  <c r="AS93" i="19"/>
  <c r="AT52" i="13"/>
  <c r="AT52" i="19"/>
  <c r="AT34" i="13"/>
  <c r="AT34" i="19"/>
  <c r="T87" i="13"/>
  <c r="X13" i="13"/>
  <c r="X8" i="19"/>
  <c r="AF12" i="13"/>
  <c r="AJ80" i="13"/>
  <c r="AI64" i="13"/>
  <c r="K86" i="19"/>
  <c r="O88" i="19"/>
  <c r="O84" i="19"/>
  <c r="O79" i="19"/>
  <c r="T72" i="19"/>
  <c r="T57" i="19"/>
  <c r="X43" i="19"/>
  <c r="AI49" i="19"/>
  <c r="AF31" i="19"/>
  <c r="AF31" i="13"/>
  <c r="AF49" i="13"/>
  <c r="AF49" i="19"/>
  <c r="AE66" i="13"/>
  <c r="AE66" i="19"/>
  <c r="AE74" i="13"/>
  <c r="AE74" i="19"/>
  <c r="AA40" i="13"/>
  <c r="AA40" i="19"/>
  <c r="AA48" i="13"/>
  <c r="AA48" i="19"/>
  <c r="AB61" i="19"/>
  <c r="AB61" i="13"/>
  <c r="AB66" i="19"/>
  <c r="AB66" i="13"/>
  <c r="AB72" i="19"/>
  <c r="AB72" i="13"/>
  <c r="X79" i="13"/>
  <c r="X79" i="19"/>
  <c r="X81" i="13"/>
  <c r="X81" i="19"/>
  <c r="K38" i="19"/>
  <c r="K38" i="13"/>
  <c r="H38" i="19"/>
  <c r="H38" i="13"/>
  <c r="G91" i="3"/>
  <c r="G91" i="4" s="1"/>
  <c r="G91" i="5" s="1"/>
  <c r="G91" i="6" s="1"/>
  <c r="G91" i="7" s="1"/>
  <c r="G91" i="8" s="1"/>
  <c r="G91" i="9" s="1"/>
  <c r="K91" i="9" s="1"/>
  <c r="M90" i="13" s="1"/>
  <c r="AR90" i="19"/>
  <c r="G77" i="3"/>
  <c r="AR76" i="19"/>
  <c r="K86" i="2"/>
  <c r="AO85" i="19" s="1"/>
  <c r="AR85" i="19"/>
  <c r="G82" i="3"/>
  <c r="AR81" i="19"/>
  <c r="G71" i="3"/>
  <c r="G71" i="4" s="1"/>
  <c r="G71" i="5" s="1"/>
  <c r="AR70" i="19"/>
  <c r="G67" i="3"/>
  <c r="G67" i="4" s="1"/>
  <c r="AR66" i="19"/>
  <c r="G62" i="3"/>
  <c r="K62" i="3" s="1"/>
  <c r="AK61" i="13" s="1"/>
  <c r="AR61" i="19"/>
  <c r="G57" i="3"/>
  <c r="AR56" i="19"/>
  <c r="G47" i="3"/>
  <c r="G47" i="4" s="1"/>
  <c r="G47" i="5" s="1"/>
  <c r="AR46" i="19"/>
  <c r="G43" i="3"/>
  <c r="AR42" i="19"/>
  <c r="G39" i="3"/>
  <c r="K39" i="3" s="1"/>
  <c r="AK38" i="19" s="1"/>
  <c r="AR38" i="19"/>
  <c r="G33" i="3"/>
  <c r="G33" i="4" s="1"/>
  <c r="K33" i="4" s="1"/>
  <c r="AG32" i="13" s="1"/>
  <c r="AR32" i="19"/>
  <c r="G29" i="3"/>
  <c r="K29" i="3" s="1"/>
  <c r="AK28" i="13" s="1"/>
  <c r="AR28" i="19"/>
  <c r="G23" i="3"/>
  <c r="G23" i="4" s="1"/>
  <c r="AR22" i="19"/>
  <c r="G13" i="3"/>
  <c r="G13" i="4" s="1"/>
  <c r="G13" i="5" s="1"/>
  <c r="AR12" i="19"/>
  <c r="G9" i="3"/>
  <c r="G9" i="4" s="1"/>
  <c r="AR8" i="19"/>
  <c r="H53" i="3"/>
  <c r="H53" i="4" s="1"/>
  <c r="H53" i="5" s="1"/>
  <c r="H53" i="6" s="1"/>
  <c r="H53" i="7" s="1"/>
  <c r="H53" i="8" s="1"/>
  <c r="H53" i="9" s="1"/>
  <c r="H53" i="10" s="1"/>
  <c r="H53" i="11" s="1"/>
  <c r="H53" i="12" s="1"/>
  <c r="AS52" i="19"/>
  <c r="AT83" i="13"/>
  <c r="AT83" i="19"/>
  <c r="AT79" i="13"/>
  <c r="AT79" i="19"/>
  <c r="AT74" i="13"/>
  <c r="AT74" i="19"/>
  <c r="AT70" i="13"/>
  <c r="AT70" i="19"/>
  <c r="AT66" i="13"/>
  <c r="AT66" i="19"/>
  <c r="AT61" i="13"/>
  <c r="AT61" i="19"/>
  <c r="AT56" i="13"/>
  <c r="AT56" i="19"/>
  <c r="AT50" i="13"/>
  <c r="AT50" i="19"/>
  <c r="AT42" i="13"/>
  <c r="AT42" i="19"/>
  <c r="AT38" i="13"/>
  <c r="AT38" i="19"/>
  <c r="AT32" i="13"/>
  <c r="AT32" i="19"/>
  <c r="G93" i="3"/>
  <c r="J93" i="3" s="1"/>
  <c r="AL92" i="13" s="1"/>
  <c r="AR92" i="19"/>
  <c r="G87" i="3"/>
  <c r="AR86" i="19"/>
  <c r="K76" i="2"/>
  <c r="AO75" i="13" s="1"/>
  <c r="AR75" i="19"/>
  <c r="G58" i="3"/>
  <c r="G58" i="4" s="1"/>
  <c r="AR57" i="19"/>
  <c r="G36" i="3"/>
  <c r="J36" i="3" s="1"/>
  <c r="AL35" i="13" s="1"/>
  <c r="AR35" i="19"/>
  <c r="G14" i="3"/>
  <c r="K14" i="3" s="1"/>
  <c r="AK13" i="19" s="1"/>
  <c r="AR13" i="19"/>
  <c r="G10" i="3"/>
  <c r="G10" i="4" s="1"/>
  <c r="G10" i="5" s="1"/>
  <c r="K10" i="5" s="1"/>
  <c r="AR9" i="19"/>
  <c r="H10" i="3"/>
  <c r="AS9" i="19"/>
  <c r="H14" i="3"/>
  <c r="J14" i="3" s="1"/>
  <c r="AS13" i="19"/>
  <c r="H18" i="3"/>
  <c r="H18" i="4" s="1"/>
  <c r="AS17" i="19"/>
  <c r="H24" i="3"/>
  <c r="H24" i="4" s="1"/>
  <c r="H24" i="5" s="1"/>
  <c r="H24" i="6" s="1"/>
  <c r="H24" i="7" s="1"/>
  <c r="AS23" i="19"/>
  <c r="H36" i="3"/>
  <c r="H36" i="4" s="1"/>
  <c r="H36" i="5" s="1"/>
  <c r="H36" i="6" s="1"/>
  <c r="H36" i="7" s="1"/>
  <c r="H36" i="8" s="1"/>
  <c r="H36" i="9" s="1"/>
  <c r="H36" i="10" s="1"/>
  <c r="H36" i="11" s="1"/>
  <c r="H36" i="12" s="1"/>
  <c r="AS35" i="19"/>
  <c r="H40" i="3"/>
  <c r="H40" i="4" s="1"/>
  <c r="H40" i="5" s="1"/>
  <c r="H40" i="6" s="1"/>
  <c r="H40" i="7" s="1"/>
  <c r="H40" i="8" s="1"/>
  <c r="H40" i="9" s="1"/>
  <c r="H40" i="10" s="1"/>
  <c r="H40" i="11" s="1"/>
  <c r="H40" i="12" s="1"/>
  <c r="AS39" i="19"/>
  <c r="H44" i="3"/>
  <c r="H44" i="4" s="1"/>
  <c r="H44" i="5" s="1"/>
  <c r="H44" i="6" s="1"/>
  <c r="H44" i="7" s="1"/>
  <c r="H44" i="8" s="1"/>
  <c r="H44" i="9" s="1"/>
  <c r="H44" i="10" s="1"/>
  <c r="H44" i="11" s="1"/>
  <c r="H44" i="12" s="1"/>
  <c r="AS43" i="19"/>
  <c r="H48" i="3"/>
  <c r="H48" i="4" s="1"/>
  <c r="H48" i="5" s="1"/>
  <c r="H48" i="6" s="1"/>
  <c r="H48" i="7" s="1"/>
  <c r="H48" i="8" s="1"/>
  <c r="H48" i="9" s="1"/>
  <c r="H48" i="10" s="1"/>
  <c r="H48" i="11" s="1"/>
  <c r="H48" i="12" s="1"/>
  <c r="AS47" i="19"/>
  <c r="H54" i="3"/>
  <c r="H54" i="4" s="1"/>
  <c r="H54" i="5" s="1"/>
  <c r="H54" i="6" s="1"/>
  <c r="H54" i="7" s="1"/>
  <c r="H54" i="8" s="1"/>
  <c r="H54" i="9" s="1"/>
  <c r="H54" i="10" s="1"/>
  <c r="H54" i="11" s="1"/>
  <c r="H54" i="12" s="1"/>
  <c r="AS53" i="19"/>
  <c r="H58" i="3"/>
  <c r="H58" i="4" s="1"/>
  <c r="H58" i="5" s="1"/>
  <c r="H58" i="6" s="1"/>
  <c r="H58" i="7" s="1"/>
  <c r="H58" i="8" s="1"/>
  <c r="H58" i="9" s="1"/>
  <c r="H58" i="10" s="1"/>
  <c r="H58" i="11" s="1"/>
  <c r="H58" i="12" s="1"/>
  <c r="AS57" i="19"/>
  <c r="H63" i="3"/>
  <c r="AS62" i="19"/>
  <c r="H68" i="3"/>
  <c r="H68" i="4" s="1"/>
  <c r="H68" i="5" s="1"/>
  <c r="H68" i="6" s="1"/>
  <c r="H68" i="7" s="1"/>
  <c r="H68" i="8" s="1"/>
  <c r="H68" i="9" s="1"/>
  <c r="H68" i="10" s="1"/>
  <c r="H68" i="11" s="1"/>
  <c r="H68" i="12" s="1"/>
  <c r="AS67" i="19"/>
  <c r="H72" i="3"/>
  <c r="H72" i="4" s="1"/>
  <c r="H72" i="5" s="1"/>
  <c r="H72" i="6" s="1"/>
  <c r="H72" i="7" s="1"/>
  <c r="H72" i="8" s="1"/>
  <c r="H72" i="9" s="1"/>
  <c r="H72" i="10" s="1"/>
  <c r="H72" i="11" s="1"/>
  <c r="H72" i="12" s="1"/>
  <c r="AS71" i="19"/>
  <c r="H76" i="3"/>
  <c r="H76" i="4" s="1"/>
  <c r="H76" i="5" s="1"/>
  <c r="H76" i="6" s="1"/>
  <c r="H76" i="7" s="1"/>
  <c r="H76" i="8" s="1"/>
  <c r="H76" i="9" s="1"/>
  <c r="H76" i="10" s="1"/>
  <c r="H76" i="11" s="1"/>
  <c r="H76" i="12" s="1"/>
  <c r="AS75" i="19"/>
  <c r="H83" i="3"/>
  <c r="AS82" i="19"/>
  <c r="H87" i="3"/>
  <c r="H87" i="4" s="1"/>
  <c r="H87" i="5" s="1"/>
  <c r="AS86" i="19"/>
  <c r="H93" i="3"/>
  <c r="H93" i="4" s="1"/>
  <c r="AS92" i="19"/>
  <c r="AT95" i="13"/>
  <c r="AT95" i="19"/>
  <c r="AT90" i="13"/>
  <c r="AT90" i="19"/>
  <c r="AT85" i="13"/>
  <c r="AT85" i="19"/>
  <c r="AT81" i="13"/>
  <c r="AT81" i="19"/>
  <c r="AT76" i="13"/>
  <c r="AT76" i="19"/>
  <c r="AT72" i="13"/>
  <c r="AT72" i="19"/>
  <c r="AT63" i="13"/>
  <c r="AT63" i="19"/>
  <c r="AT24" i="13"/>
  <c r="AT24" i="19"/>
  <c r="G79" i="3"/>
  <c r="G79" i="4" s="1"/>
  <c r="G79" i="5" s="1"/>
  <c r="K79" i="5" s="1"/>
  <c r="AC78" i="13" s="1"/>
  <c r="AR78" i="19"/>
  <c r="J96" i="2"/>
  <c r="AP95" i="13" s="1"/>
  <c r="AR95" i="19"/>
  <c r="G89" i="3"/>
  <c r="G89" i="4" s="1"/>
  <c r="G89" i="5" s="1"/>
  <c r="G89" i="6" s="1"/>
  <c r="G89" i="7" s="1"/>
  <c r="AR88" i="19"/>
  <c r="K74" i="2"/>
  <c r="AO73" i="13" s="1"/>
  <c r="AR73" i="19"/>
  <c r="K60" i="2"/>
  <c r="AO59" i="13" s="1"/>
  <c r="AR59" i="19"/>
  <c r="G56" i="3"/>
  <c r="G56" i="4" s="1"/>
  <c r="AR55" i="19"/>
  <c r="K42" i="2"/>
  <c r="AO41" i="13" s="1"/>
  <c r="AR41" i="19"/>
  <c r="G28" i="3"/>
  <c r="G28" i="4" s="1"/>
  <c r="AR27" i="19"/>
  <c r="H12" i="3"/>
  <c r="H12" i="4" s="1"/>
  <c r="H12" i="5" s="1"/>
  <c r="AS11" i="19"/>
  <c r="H16" i="3"/>
  <c r="AS15" i="19"/>
  <c r="H28" i="3"/>
  <c r="J28" i="3" s="1"/>
  <c r="AL27" i="19" s="1"/>
  <c r="AS27" i="19"/>
  <c r="H32" i="3"/>
  <c r="H32" i="4" s="1"/>
  <c r="H32" i="5" s="1"/>
  <c r="H32" i="6" s="1"/>
  <c r="H32" i="7" s="1"/>
  <c r="H32" i="8" s="1"/>
  <c r="H32" i="9" s="1"/>
  <c r="H32" i="10" s="1"/>
  <c r="H32" i="11" s="1"/>
  <c r="H32" i="12" s="1"/>
  <c r="AS31" i="19"/>
  <c r="H42" i="3"/>
  <c r="H42" i="4" s="1"/>
  <c r="H42" i="5" s="1"/>
  <c r="H42" i="6" s="1"/>
  <c r="H42" i="7" s="1"/>
  <c r="H42" i="8" s="1"/>
  <c r="H42" i="9" s="1"/>
  <c r="H42" i="10" s="1"/>
  <c r="H42" i="11" s="1"/>
  <c r="H42" i="12" s="1"/>
  <c r="AS41" i="19"/>
  <c r="H46" i="3"/>
  <c r="H46" i="4" s="1"/>
  <c r="H46" i="5" s="1"/>
  <c r="H46" i="6" s="1"/>
  <c r="H46" i="7" s="1"/>
  <c r="H46" i="8" s="1"/>
  <c r="H46" i="9" s="1"/>
  <c r="H46" i="10" s="1"/>
  <c r="H46" i="11" s="1"/>
  <c r="H46" i="12" s="1"/>
  <c r="AS45" i="19"/>
  <c r="H50" i="3"/>
  <c r="H50" i="4" s="1"/>
  <c r="H50" i="5" s="1"/>
  <c r="H50" i="6" s="1"/>
  <c r="H50" i="7" s="1"/>
  <c r="H50" i="8" s="1"/>
  <c r="H50" i="9" s="1"/>
  <c r="H50" i="10" s="1"/>
  <c r="H50" i="11" s="1"/>
  <c r="H50" i="12" s="1"/>
  <c r="AS49" i="19"/>
  <c r="H56" i="3"/>
  <c r="H56" i="4" s="1"/>
  <c r="AS55" i="19"/>
  <c r="H60" i="3"/>
  <c r="H60" i="4" s="1"/>
  <c r="H60" i="5" s="1"/>
  <c r="H60" i="6" s="1"/>
  <c r="H60" i="7" s="1"/>
  <c r="H60" i="8" s="1"/>
  <c r="H60" i="9" s="1"/>
  <c r="H60" i="10" s="1"/>
  <c r="H60" i="11" s="1"/>
  <c r="H60" i="12" s="1"/>
  <c r="AS59" i="19"/>
  <c r="H65" i="3"/>
  <c r="AS64" i="19"/>
  <c r="H70" i="3"/>
  <c r="H70" i="4" s="1"/>
  <c r="H70" i="5" s="1"/>
  <c r="AS69" i="19"/>
  <c r="H74" i="3"/>
  <c r="H74" i="4" s="1"/>
  <c r="H74" i="5" s="1"/>
  <c r="H74" i="6" s="1"/>
  <c r="H74" i="7" s="1"/>
  <c r="H74" i="8" s="1"/>
  <c r="H74" i="9" s="1"/>
  <c r="H74" i="10" s="1"/>
  <c r="H74" i="11" s="1"/>
  <c r="H74" i="12" s="1"/>
  <c r="AS73" i="19"/>
  <c r="H81" i="3"/>
  <c r="H81" i="4" s="1"/>
  <c r="H81" i="5" s="1"/>
  <c r="H81" i="6" s="1"/>
  <c r="H81" i="7" s="1"/>
  <c r="H81" i="8" s="1"/>
  <c r="H81" i="9" s="1"/>
  <c r="H81" i="10" s="1"/>
  <c r="H81" i="11" s="1"/>
  <c r="H81" i="12" s="1"/>
  <c r="AS80" i="19"/>
  <c r="H85" i="3"/>
  <c r="H85" i="4" s="1"/>
  <c r="H85" i="5" s="1"/>
  <c r="H85" i="6" s="1"/>
  <c r="H85" i="7" s="1"/>
  <c r="H85" i="8" s="1"/>
  <c r="H85" i="9" s="1"/>
  <c r="H85" i="10" s="1"/>
  <c r="H85" i="11" s="1"/>
  <c r="H85" i="12" s="1"/>
  <c r="AS84" i="19"/>
  <c r="H89" i="3"/>
  <c r="H89" i="4" s="1"/>
  <c r="H89" i="5" s="1"/>
  <c r="AS88" i="19"/>
  <c r="H96" i="3"/>
  <c r="AS95" i="19"/>
  <c r="C28" i="13"/>
  <c r="D50" i="13"/>
  <c r="D40" i="13"/>
  <c r="D28" i="13"/>
  <c r="D48" i="19"/>
  <c r="C75" i="13"/>
  <c r="C73" i="13"/>
  <c r="C95" i="13"/>
  <c r="C71" i="13"/>
  <c r="D91" i="13"/>
  <c r="C85" i="19"/>
  <c r="D74" i="13"/>
  <c r="D70" i="13"/>
  <c r="C69" i="13"/>
  <c r="C83" i="19"/>
  <c r="C92" i="13"/>
  <c r="D87" i="13"/>
  <c r="D85" i="13"/>
  <c r="D83" i="13"/>
  <c r="D81" i="13"/>
  <c r="D79" i="13"/>
  <c r="D46" i="13"/>
  <c r="C46" i="19"/>
  <c r="C53" i="13"/>
  <c r="C44" i="19"/>
  <c r="D66" i="13"/>
  <c r="C67" i="13"/>
  <c r="D42" i="13"/>
  <c r="C55" i="13"/>
  <c r="D38" i="13"/>
  <c r="D36" i="13"/>
  <c r="C62" i="13"/>
  <c r="C17" i="19"/>
  <c r="C15" i="19"/>
  <c r="C11" i="19"/>
  <c r="C9" i="19"/>
  <c r="C13" i="19"/>
  <c r="C22" i="19"/>
  <c r="C57" i="13"/>
  <c r="D86" i="13"/>
  <c r="C54" i="13"/>
  <c r="D41" i="13"/>
  <c r="D88" i="13"/>
  <c r="C58" i="13"/>
  <c r="D43" i="13"/>
  <c r="D35" i="13"/>
  <c r="D27" i="19"/>
  <c r="C10" i="19"/>
  <c r="C80" i="19"/>
  <c r="C39" i="19"/>
  <c r="D13" i="19"/>
  <c r="D49" i="13"/>
  <c r="D45" i="13"/>
  <c r="D37" i="13"/>
  <c r="D29" i="19"/>
  <c r="C14" i="19"/>
  <c r="C84" i="19"/>
  <c r="C43" i="19"/>
  <c r="C29" i="13"/>
  <c r="D22" i="13"/>
  <c r="D15" i="19"/>
  <c r="C72" i="13"/>
  <c r="C63" i="13"/>
  <c r="C23" i="19"/>
  <c r="D80" i="13"/>
  <c r="C56" i="13"/>
  <c r="C16" i="19"/>
  <c r="C12" i="19"/>
  <c r="C8" i="19"/>
  <c r="D75" i="13"/>
  <c r="D73" i="13"/>
  <c r="D71" i="13"/>
  <c r="D69" i="13"/>
  <c r="D67" i="13"/>
  <c r="D64" i="13"/>
  <c r="D62" i="13"/>
  <c r="C31" i="13"/>
  <c r="C27" i="13"/>
  <c r="C68" i="13"/>
  <c r="C91" i="13"/>
  <c r="C74" i="13"/>
  <c r="C70" i="13"/>
  <c r="C66" i="13"/>
  <c r="C61" i="13"/>
  <c r="C21" i="19"/>
  <c r="C86" i="19"/>
  <c r="C49" i="19"/>
  <c r="C45" i="19"/>
  <c r="C41" i="19"/>
  <c r="C37" i="19"/>
  <c r="H69" i="13"/>
  <c r="H22" i="13"/>
  <c r="H15" i="13"/>
  <c r="H12" i="13"/>
  <c r="G57" i="13"/>
  <c r="H36" i="13"/>
  <c r="H73" i="13"/>
  <c r="H64" i="13"/>
  <c r="H18" i="13"/>
  <c r="H10" i="13"/>
  <c r="G53" i="13"/>
  <c r="H44" i="13"/>
  <c r="G72" i="13"/>
  <c r="G63" i="13"/>
  <c r="H17" i="13"/>
  <c r="H9" i="13"/>
  <c r="H85" i="13"/>
  <c r="H81" i="13"/>
  <c r="H79" i="19"/>
  <c r="G68" i="19"/>
  <c r="H48" i="13"/>
  <c r="H40" i="13"/>
  <c r="H30" i="13"/>
  <c r="H28" i="13"/>
  <c r="G23" i="13"/>
  <c r="G18" i="13"/>
  <c r="G16" i="19"/>
  <c r="G10" i="13"/>
  <c r="G8" i="19"/>
  <c r="H87" i="13"/>
  <c r="H50" i="13"/>
  <c r="H42" i="13"/>
  <c r="G31" i="13"/>
  <c r="G29" i="13"/>
  <c r="G27" i="13"/>
  <c r="G75" i="13"/>
  <c r="G71" i="13"/>
  <c r="G69" i="13"/>
  <c r="G64" i="13"/>
  <c r="G58" i="13"/>
  <c r="G54" i="13"/>
  <c r="H92" i="13"/>
  <c r="G88" i="13"/>
  <c r="G86" i="13"/>
  <c r="G84" i="13"/>
  <c r="G81" i="13"/>
  <c r="G79" i="13"/>
  <c r="H74" i="13"/>
  <c r="H72" i="13"/>
  <c r="H70" i="13"/>
  <c r="H68" i="13"/>
  <c r="H66" i="13"/>
  <c r="H63" i="13"/>
  <c r="H61" i="13"/>
  <c r="H57" i="13"/>
  <c r="H55" i="13"/>
  <c r="H53" i="13"/>
  <c r="G49" i="13"/>
  <c r="G47" i="13"/>
  <c r="G45" i="13"/>
  <c r="G43" i="13"/>
  <c r="G41" i="13"/>
  <c r="G39" i="13"/>
  <c r="G37" i="13"/>
  <c r="G35" i="13"/>
  <c r="G95" i="19"/>
  <c r="G91" i="19"/>
  <c r="G73" i="19"/>
  <c r="G67" i="19"/>
  <c r="G62" i="19"/>
  <c r="G56" i="19"/>
  <c r="K75" i="13"/>
  <c r="L56" i="13"/>
  <c r="K91" i="13"/>
  <c r="K67" i="13"/>
  <c r="K21" i="13"/>
  <c r="K87" i="19"/>
  <c r="K36" i="19"/>
  <c r="L15" i="13"/>
  <c r="L11" i="13"/>
  <c r="L91" i="13"/>
  <c r="K48" i="13"/>
  <c r="L80" i="13"/>
  <c r="K73" i="19"/>
  <c r="L45" i="13"/>
  <c r="L37" i="13"/>
  <c r="L27" i="13"/>
  <c r="K11" i="13"/>
  <c r="L54" i="19"/>
  <c r="K42" i="13"/>
  <c r="K69" i="13"/>
  <c r="K13" i="13"/>
  <c r="K83" i="13"/>
  <c r="K44" i="13"/>
  <c r="K28" i="13"/>
  <c r="L88" i="13"/>
  <c r="L86" i="13"/>
  <c r="L84" i="13"/>
  <c r="K71" i="13"/>
  <c r="K62" i="13"/>
  <c r="K56" i="13"/>
  <c r="L47" i="13"/>
  <c r="L39" i="13"/>
  <c r="L29" i="13"/>
  <c r="K15" i="13"/>
  <c r="K85" i="13"/>
  <c r="L72" i="19"/>
  <c r="L58" i="13"/>
  <c r="K50" i="13"/>
  <c r="K46" i="13"/>
  <c r="K40" i="13"/>
  <c r="K92" i="19"/>
  <c r="K68" i="19"/>
  <c r="K12" i="13"/>
  <c r="L63" i="19"/>
  <c r="K43" i="19"/>
  <c r="L10" i="19"/>
  <c r="L10" i="13"/>
  <c r="L14" i="19"/>
  <c r="L14" i="13"/>
  <c r="L18" i="19"/>
  <c r="L18" i="13"/>
  <c r="L8" i="19"/>
  <c r="L8" i="13"/>
  <c r="L12" i="19"/>
  <c r="L12" i="13"/>
  <c r="L16" i="19"/>
  <c r="L16" i="13"/>
  <c r="K95" i="13"/>
  <c r="K58" i="13"/>
  <c r="L74" i="19"/>
  <c r="L66" i="19"/>
  <c r="K27" i="19"/>
  <c r="K27" i="13"/>
  <c r="K29" i="19"/>
  <c r="K29" i="13"/>
  <c r="K31" i="19"/>
  <c r="K31" i="13"/>
  <c r="K88" i="19"/>
  <c r="L68" i="19"/>
  <c r="L57" i="19"/>
  <c r="K47" i="19"/>
  <c r="K39" i="19"/>
  <c r="L92" i="19"/>
  <c r="K81" i="19"/>
  <c r="L70" i="19"/>
  <c r="L61" i="19"/>
  <c r="K49" i="19"/>
  <c r="K41" i="19"/>
  <c r="L22" i="19"/>
  <c r="L22" i="13"/>
  <c r="T9" i="13"/>
  <c r="T66" i="13"/>
  <c r="S9" i="13"/>
  <c r="S92" i="13"/>
  <c r="T83" i="13"/>
  <c r="T80" i="13"/>
  <c r="S74" i="13"/>
  <c r="S13" i="13"/>
  <c r="T91" i="19"/>
  <c r="S79" i="13"/>
  <c r="T70" i="19"/>
  <c r="T61" i="19"/>
  <c r="S45" i="13"/>
  <c r="S37" i="13"/>
  <c r="S29" i="13"/>
  <c r="T74" i="13"/>
  <c r="T56" i="19"/>
  <c r="S72" i="13"/>
  <c r="S68" i="13"/>
  <c r="S61" i="13"/>
  <c r="S54" i="13"/>
  <c r="S83" i="19"/>
  <c r="S49" i="19"/>
  <c r="S41" i="19"/>
  <c r="S73" i="13"/>
  <c r="S64" i="13"/>
  <c r="S91" i="13"/>
  <c r="S75" i="13"/>
  <c r="S67" i="13"/>
  <c r="S56" i="13"/>
  <c r="T49" i="13"/>
  <c r="T47" i="13"/>
  <c r="T45" i="13"/>
  <c r="T43" i="13"/>
  <c r="T41" i="13"/>
  <c r="T39" i="13"/>
  <c r="T37" i="13"/>
  <c r="T35" i="13"/>
  <c r="S22" i="19"/>
  <c r="S17" i="13"/>
  <c r="S15" i="19"/>
  <c r="S86" i="13"/>
  <c r="T68" i="13"/>
  <c r="S47" i="13"/>
  <c r="S39" i="13"/>
  <c r="S31" i="13"/>
  <c r="S27" i="13"/>
  <c r="T18" i="13"/>
  <c r="T14" i="13"/>
  <c r="T10" i="13"/>
  <c r="T31" i="19"/>
  <c r="T58" i="19"/>
  <c r="T27" i="19"/>
  <c r="T54" i="19"/>
  <c r="S8" i="19"/>
  <c r="S8" i="13"/>
  <c r="S80" i="19"/>
  <c r="S28" i="19"/>
  <c r="S28" i="13"/>
  <c r="S30" i="19"/>
  <c r="S30" i="13"/>
  <c r="T23" i="13"/>
  <c r="T21" i="13"/>
  <c r="T17" i="13"/>
  <c r="T15" i="13"/>
  <c r="T13" i="13"/>
  <c r="T11" i="13"/>
  <c r="X47" i="19"/>
  <c r="W86" i="19"/>
  <c r="X70" i="13"/>
  <c r="X63" i="13"/>
  <c r="X57" i="13"/>
  <c r="X18" i="13"/>
  <c r="X16" i="13"/>
  <c r="X14" i="13"/>
  <c r="X12" i="19"/>
  <c r="X88" i="13"/>
  <c r="X86" i="13"/>
  <c r="X84" i="13"/>
  <c r="W74" i="13"/>
  <c r="W63" i="19"/>
  <c r="X45" i="13"/>
  <c r="X41" i="19"/>
  <c r="X35" i="19"/>
  <c r="X29" i="13"/>
  <c r="W23" i="13"/>
  <c r="X68" i="13"/>
  <c r="X61" i="13"/>
  <c r="X27" i="19"/>
  <c r="X72" i="13"/>
  <c r="W27" i="13"/>
  <c r="W68" i="19"/>
  <c r="X39" i="19"/>
  <c r="W88" i="13"/>
  <c r="W84" i="13"/>
  <c r="X56" i="13"/>
  <c r="W48" i="13"/>
  <c r="W44" i="13"/>
  <c r="W40" i="13"/>
  <c r="W36" i="13"/>
  <c r="W30" i="13"/>
  <c r="X23" i="13"/>
  <c r="X21" i="13"/>
  <c r="X58" i="13"/>
  <c r="X74" i="13"/>
  <c r="X66" i="13"/>
  <c r="X55" i="13"/>
  <c r="W29" i="13"/>
  <c r="W92" i="13"/>
  <c r="W16" i="19"/>
  <c r="W62" i="19"/>
  <c r="W62" i="13"/>
  <c r="W64" i="19"/>
  <c r="W64" i="13"/>
  <c r="W67" i="19"/>
  <c r="W67" i="13"/>
  <c r="W69" i="19"/>
  <c r="W69" i="13"/>
  <c r="W71" i="19"/>
  <c r="W71" i="13"/>
  <c r="W73" i="19"/>
  <c r="W73" i="13"/>
  <c r="W75" i="19"/>
  <c r="W75" i="13"/>
  <c r="W18" i="19"/>
  <c r="W10" i="19"/>
  <c r="W54" i="19"/>
  <c r="W54" i="13"/>
  <c r="W56" i="19"/>
  <c r="W56" i="13"/>
  <c r="W58" i="19"/>
  <c r="W58" i="13"/>
  <c r="W22" i="19"/>
  <c r="W12" i="19"/>
  <c r="W35" i="19"/>
  <c r="W35" i="13"/>
  <c r="W37" i="19"/>
  <c r="W37" i="13"/>
  <c r="W39" i="13"/>
  <c r="W39" i="19"/>
  <c r="W41" i="19"/>
  <c r="W41" i="13"/>
  <c r="W43" i="13"/>
  <c r="W43" i="19"/>
  <c r="W45" i="19"/>
  <c r="W45" i="13"/>
  <c r="W47" i="19"/>
  <c r="W47" i="13"/>
  <c r="W49" i="13"/>
  <c r="W49" i="19"/>
  <c r="W83" i="13"/>
  <c r="W83" i="19"/>
  <c r="W85" i="19"/>
  <c r="W85" i="13"/>
  <c r="W87" i="13"/>
  <c r="W87" i="19"/>
  <c r="W14" i="19"/>
  <c r="W80" i="13"/>
  <c r="W80" i="19"/>
  <c r="X50" i="13"/>
  <c r="X48" i="13"/>
  <c r="X46" i="13"/>
  <c r="X44" i="13"/>
  <c r="X42" i="13"/>
  <c r="X40" i="13"/>
  <c r="X38" i="13"/>
  <c r="X36" i="13"/>
  <c r="AB84" i="19"/>
  <c r="AA9" i="13"/>
  <c r="AA55" i="13"/>
  <c r="AA17" i="13"/>
  <c r="AA13" i="13"/>
  <c r="AB92" i="13"/>
  <c r="AA27" i="13"/>
  <c r="AA92" i="13"/>
  <c r="AB88" i="19"/>
  <c r="AB81" i="19"/>
  <c r="AA67" i="13"/>
  <c r="AB30" i="13"/>
  <c r="AA88" i="13"/>
  <c r="AB56" i="13"/>
  <c r="AA31" i="13"/>
  <c r="AB16" i="19"/>
  <c r="AB10" i="19"/>
  <c r="AB86" i="19"/>
  <c r="AB79" i="19"/>
  <c r="AA71" i="13"/>
  <c r="AA64" i="13"/>
  <c r="AA58" i="13"/>
  <c r="AB48" i="19"/>
  <c r="AB36" i="19"/>
  <c r="AA84" i="13"/>
  <c r="AA80" i="13"/>
  <c r="AB70" i="13"/>
  <c r="AB62" i="13"/>
  <c r="AA30" i="19"/>
  <c r="AB23" i="19"/>
  <c r="AB14" i="19"/>
  <c r="AB8" i="19"/>
  <c r="AB11" i="13"/>
  <c r="AB11" i="19"/>
  <c r="AB15" i="13"/>
  <c r="AB15" i="19"/>
  <c r="AA74" i="13"/>
  <c r="AA66" i="13"/>
  <c r="AB17" i="19"/>
  <c r="AA35" i="19"/>
  <c r="AA35" i="13"/>
  <c r="AA37" i="19"/>
  <c r="AA37" i="13"/>
  <c r="AA39" i="19"/>
  <c r="AA39" i="13"/>
  <c r="AA41" i="19"/>
  <c r="AA41" i="13"/>
  <c r="AA43" i="19"/>
  <c r="AA43" i="13"/>
  <c r="AA45" i="19"/>
  <c r="AA45" i="13"/>
  <c r="AA47" i="19"/>
  <c r="AA47" i="13"/>
  <c r="AA49" i="19"/>
  <c r="AA49" i="13"/>
  <c r="AB64" i="19"/>
  <c r="AB64" i="13"/>
  <c r="AB69" i="19"/>
  <c r="AB69" i="13"/>
  <c r="AB73" i="19"/>
  <c r="AB73" i="13"/>
  <c r="AB80" i="19"/>
  <c r="AA68" i="13"/>
  <c r="AA57" i="13"/>
  <c r="AB67" i="13"/>
  <c r="AA29" i="13"/>
  <c r="AA22" i="19"/>
  <c r="AA22" i="13"/>
  <c r="AB28" i="19"/>
  <c r="AB28" i="13"/>
  <c r="AB38" i="13"/>
  <c r="AB38" i="19"/>
  <c r="AB42" i="13"/>
  <c r="AB42" i="19"/>
  <c r="AB46" i="13"/>
  <c r="AB46" i="19"/>
  <c r="AB50" i="13"/>
  <c r="AB50" i="19"/>
  <c r="AB54" i="19"/>
  <c r="AB54" i="13"/>
  <c r="AB58" i="19"/>
  <c r="AB58" i="13"/>
  <c r="AB44" i="19"/>
  <c r="AB71" i="13"/>
  <c r="AB9" i="19"/>
  <c r="AA8" i="19"/>
  <c r="AA8" i="13"/>
  <c r="AA10" i="19"/>
  <c r="AA10" i="13"/>
  <c r="AA12" i="19"/>
  <c r="AA12" i="13"/>
  <c r="AA14" i="19"/>
  <c r="AA14" i="13"/>
  <c r="AA16" i="19"/>
  <c r="AA16" i="13"/>
  <c r="AA18" i="19"/>
  <c r="AA18" i="13"/>
  <c r="AB21" i="13"/>
  <c r="AB21" i="19"/>
  <c r="AB83" i="13"/>
  <c r="AB83" i="19"/>
  <c r="AB87" i="13"/>
  <c r="AB87" i="19"/>
  <c r="AB91" i="19"/>
  <c r="AB91" i="13"/>
  <c r="AF70" i="19"/>
  <c r="AF63" i="19"/>
  <c r="AF23" i="13"/>
  <c r="AF11" i="13"/>
  <c r="AF79" i="19"/>
  <c r="AF47" i="19"/>
  <c r="AF29" i="13"/>
  <c r="AF92" i="19"/>
  <c r="AF74" i="19"/>
  <c r="AF68" i="19"/>
  <c r="AF55" i="19"/>
  <c r="AE49" i="13"/>
  <c r="AE47" i="13"/>
  <c r="AE45" i="13"/>
  <c r="AE43" i="13"/>
  <c r="AE41" i="13"/>
  <c r="AE39" i="13"/>
  <c r="AE37" i="13"/>
  <c r="AE35" i="13"/>
  <c r="AF15" i="13"/>
  <c r="AF9" i="13"/>
  <c r="AF86" i="19"/>
  <c r="AE72" i="13"/>
  <c r="AE63" i="13"/>
  <c r="AE53" i="13"/>
  <c r="AF45" i="19"/>
  <c r="AF37" i="19"/>
  <c r="AF88" i="19"/>
  <c r="AF39" i="19"/>
  <c r="AF72" i="19"/>
  <c r="AF61" i="19"/>
  <c r="AF53" i="19"/>
  <c r="AF21" i="13"/>
  <c r="AF13" i="13"/>
  <c r="AF84" i="19"/>
  <c r="AF43" i="19"/>
  <c r="AF35" i="19"/>
  <c r="AF27" i="13"/>
  <c r="AF91" i="19"/>
  <c r="AF83" i="19"/>
  <c r="AF46" i="19"/>
  <c r="AF42" i="19"/>
  <c r="AF38" i="19"/>
  <c r="AF73" i="19"/>
  <c r="AF69" i="19"/>
  <c r="AF64" i="19"/>
  <c r="AF58" i="19"/>
  <c r="AF54" i="19"/>
  <c r="AF18" i="13"/>
  <c r="AF14" i="13"/>
  <c r="AF10" i="13"/>
  <c r="AE91" i="13"/>
  <c r="AF30" i="13"/>
  <c r="AF87" i="19"/>
  <c r="AF50" i="19"/>
  <c r="AF85" i="19"/>
  <c r="AF80" i="19"/>
  <c r="AF48" i="19"/>
  <c r="AF44" i="19"/>
  <c r="AF40" i="19"/>
  <c r="AF36" i="19"/>
  <c r="J92" i="2"/>
  <c r="AP91" i="19" s="1"/>
  <c r="AI55" i="13"/>
  <c r="AI41" i="13"/>
  <c r="AI71" i="19"/>
  <c r="AI62" i="13"/>
  <c r="AJ30" i="13"/>
  <c r="AJ91" i="13"/>
  <c r="AI84" i="13"/>
  <c r="AJ61" i="19"/>
  <c r="AI47" i="19"/>
  <c r="AI39" i="19"/>
  <c r="AJ16" i="13"/>
  <c r="AJ12" i="13"/>
  <c r="AJ8" i="13"/>
  <c r="AJ81" i="19"/>
  <c r="AI13" i="13"/>
  <c r="AJ85" i="13"/>
  <c r="AJ74" i="13"/>
  <c r="AI45" i="19"/>
  <c r="AI37" i="13"/>
  <c r="AI56" i="13"/>
  <c r="AI16" i="13"/>
  <c r="AI12" i="13"/>
  <c r="AJ63" i="13"/>
  <c r="AI44" i="13"/>
  <c r="AJ87" i="13"/>
  <c r="AJ83" i="13"/>
  <c r="AJ72" i="13"/>
  <c r="AJ68" i="13"/>
  <c r="AI46" i="13"/>
  <c r="AI30" i="13"/>
  <c r="AJ23" i="13"/>
  <c r="AI58" i="13"/>
  <c r="AI14" i="19"/>
  <c r="AI79" i="19"/>
  <c r="AI36" i="19"/>
  <c r="AI91" i="13"/>
  <c r="AI70" i="13"/>
  <c r="AJ43" i="13"/>
  <c r="AJ57" i="13"/>
  <c r="AJ53" i="13"/>
  <c r="AJ9" i="13"/>
  <c r="AI72" i="13"/>
  <c r="AI66" i="19"/>
  <c r="AJ39" i="19"/>
  <c r="AJ35" i="13"/>
  <c r="AJ29" i="13"/>
  <c r="AI17" i="13"/>
  <c r="AI9" i="19"/>
  <c r="AI31" i="13"/>
  <c r="AI29" i="13"/>
  <c r="AI27" i="13"/>
  <c r="AJ22" i="13"/>
  <c r="AJ11" i="19"/>
  <c r="AJ88" i="19"/>
  <c r="AI61" i="19"/>
  <c r="AJ37" i="13"/>
  <c r="AI11" i="19"/>
  <c r="AM84" i="13"/>
  <c r="AM80" i="13"/>
  <c r="AM42" i="13"/>
  <c r="AM35" i="13"/>
  <c r="AM28" i="19"/>
  <c r="AN10" i="13"/>
  <c r="AN67" i="13"/>
  <c r="AN57" i="19"/>
  <c r="AM47" i="13"/>
  <c r="AM44" i="19"/>
  <c r="AN21" i="19"/>
  <c r="AN13" i="19"/>
  <c r="AN8" i="19"/>
  <c r="AR45" i="13"/>
  <c r="AR57" i="13"/>
  <c r="AR87" i="13"/>
  <c r="AR48" i="13"/>
  <c r="AR80" i="13"/>
  <c r="AR88" i="13"/>
  <c r="AR83" i="13"/>
  <c r="AQ91" i="19"/>
  <c r="AQ83" i="13"/>
  <c r="AR22" i="13"/>
  <c r="AQ75" i="19"/>
  <c r="AR53" i="13"/>
  <c r="AR71" i="13"/>
  <c r="AR73" i="13"/>
  <c r="AR75" i="13"/>
  <c r="AQ67" i="13"/>
  <c r="AQ79" i="13"/>
  <c r="AQ15" i="13"/>
  <c r="AQ28" i="13"/>
  <c r="AQ36" i="13"/>
  <c r="AQ40" i="13"/>
  <c r="AQ44" i="13"/>
  <c r="AQ48" i="13"/>
  <c r="AQ55" i="19"/>
  <c r="AQ85" i="13"/>
  <c r="AQ62" i="19"/>
  <c r="AQ13" i="19"/>
  <c r="AQ53" i="19"/>
  <c r="AR28" i="13"/>
  <c r="AR42" i="13"/>
  <c r="AQ71" i="13"/>
  <c r="AQ81" i="19"/>
  <c r="AQ9" i="19"/>
  <c r="AR37" i="13"/>
  <c r="AR49" i="13"/>
  <c r="AQ23" i="13"/>
  <c r="AQ64" i="13"/>
  <c r="AQ58" i="19"/>
  <c r="K33" i="3"/>
  <c r="AK32" i="13" s="1"/>
  <c r="AR11" i="13"/>
  <c r="AR41" i="13"/>
  <c r="AR47" i="13"/>
  <c r="K67" i="3"/>
  <c r="AK66" i="19" s="1"/>
  <c r="J15" i="2"/>
  <c r="AP14" i="19" s="1"/>
  <c r="K27" i="2"/>
  <c r="AO26" i="13" s="1"/>
  <c r="AT28" i="13"/>
  <c r="K27" i="3"/>
  <c r="AK26" i="13" s="1"/>
  <c r="AT8" i="13"/>
  <c r="AT46" i="13"/>
  <c r="AT87" i="13"/>
  <c r="AT35" i="13"/>
  <c r="K28" i="3"/>
  <c r="AS70" i="13"/>
  <c r="K23" i="3"/>
  <c r="AK22" i="19" s="1"/>
  <c r="AS41" i="13"/>
  <c r="AT47" i="13"/>
  <c r="K28" i="2"/>
  <c r="AO27" i="19" s="1"/>
  <c r="J30" i="2"/>
  <c r="AP29" i="19" s="1"/>
  <c r="AT30" i="13"/>
  <c r="AS39" i="13"/>
  <c r="AS57" i="13"/>
  <c r="AS86" i="13"/>
  <c r="AT73" i="13"/>
  <c r="AS63" i="13"/>
  <c r="K58" i="3"/>
  <c r="AK57" i="13" s="1"/>
  <c r="J65" i="2"/>
  <c r="AP64" i="13" s="1"/>
  <c r="J50" i="2"/>
  <c r="AP49" i="13" s="1"/>
  <c r="AT91" i="13"/>
  <c r="AT41" i="13"/>
  <c r="AT88" i="13"/>
  <c r="K9" i="3"/>
  <c r="AK8" i="13" s="1"/>
  <c r="J69" i="2"/>
  <c r="AP68" i="19" s="1"/>
  <c r="J12" i="2"/>
  <c r="AP11" i="13" s="1"/>
  <c r="AT17" i="13"/>
  <c r="AT62" i="13"/>
  <c r="AT12" i="13"/>
  <c r="AS8" i="13"/>
  <c r="AS18" i="13"/>
  <c r="AS87" i="13"/>
  <c r="AT23" i="13"/>
  <c r="AT43" i="13"/>
  <c r="AT13" i="13"/>
  <c r="AT75" i="13"/>
  <c r="J56" i="3"/>
  <c r="AL55" i="19" s="1"/>
  <c r="K53" i="3"/>
  <c r="AK52" i="13" s="1"/>
  <c r="K56" i="2"/>
  <c r="AO55" i="13" s="1"/>
  <c r="AT29" i="13"/>
  <c r="J81" i="2"/>
  <c r="AP80" i="13" s="1"/>
  <c r="J27" i="2"/>
  <c r="AP26" i="13" s="1"/>
  <c r="AT16" i="13"/>
  <c r="AT44" i="13"/>
  <c r="AS55" i="13"/>
  <c r="AS84" i="13"/>
  <c r="K31" i="2"/>
  <c r="AO30" i="19" s="1"/>
  <c r="K56" i="3"/>
  <c r="G14" i="4"/>
  <c r="K53" i="2"/>
  <c r="AO52" i="13" s="1"/>
  <c r="AT10" i="13"/>
  <c r="AT22" i="13"/>
  <c r="AS37" i="13"/>
  <c r="J28" i="2"/>
  <c r="AP27" i="13" s="1"/>
  <c r="H30" i="3"/>
  <c r="H30" i="4" s="1"/>
  <c r="H30" i="5" s="1"/>
  <c r="H30" i="6" s="1"/>
  <c r="H30" i="7" s="1"/>
  <c r="H30" i="8" s="1"/>
  <c r="H30" i="9" s="1"/>
  <c r="H30" i="10" s="1"/>
  <c r="H30" i="11" s="1"/>
  <c r="H30" i="12" s="1"/>
  <c r="K64" i="4"/>
  <c r="AG63" i="19" s="1"/>
  <c r="G32" i="3"/>
  <c r="K32" i="2"/>
  <c r="AO31" i="13" s="1"/>
  <c r="H91" i="3"/>
  <c r="AT21" i="13"/>
  <c r="AT68" i="13"/>
  <c r="K37" i="2"/>
  <c r="J31" i="2"/>
  <c r="J16" i="2"/>
  <c r="AP15" i="13" s="1"/>
  <c r="G9" i="5"/>
  <c r="G9" i="6" s="1"/>
  <c r="K9" i="6" s="1"/>
  <c r="K9" i="4"/>
  <c r="AT14" i="13"/>
  <c r="AT40" i="13"/>
  <c r="AT58" i="13"/>
  <c r="AS10" i="13"/>
  <c r="AS31" i="13"/>
  <c r="AS49" i="13"/>
  <c r="AS83" i="13"/>
  <c r="AS74" i="13"/>
  <c r="AS23" i="13"/>
  <c r="AS88" i="13"/>
  <c r="J72" i="2"/>
  <c r="AP71" i="13" s="1"/>
  <c r="J56" i="2"/>
  <c r="J45" i="2"/>
  <c r="AP44" i="19" s="1"/>
  <c r="J37" i="2"/>
  <c r="H22" i="3"/>
  <c r="H22" i="4" s="1"/>
  <c r="H22" i="5" s="1"/>
  <c r="H22" i="6" s="1"/>
  <c r="H22" i="7" s="1"/>
  <c r="H22" i="8" s="1"/>
  <c r="H22" i="9" s="1"/>
  <c r="H22" i="10" s="1"/>
  <c r="H22" i="11" s="1"/>
  <c r="H22" i="12" s="1"/>
  <c r="J22" i="2"/>
  <c r="AP21" i="19" s="1"/>
  <c r="AT55" i="13"/>
  <c r="AT31" i="13"/>
  <c r="G50" i="3"/>
  <c r="K50" i="2"/>
  <c r="G43" i="4"/>
  <c r="J43" i="4" s="1"/>
  <c r="K43" i="3"/>
  <c r="AS14" i="13"/>
  <c r="AT49" i="13"/>
  <c r="AS13" i="13"/>
  <c r="AT36" i="13"/>
  <c r="AT54" i="13"/>
  <c r="AS27" i="13"/>
  <c r="AS45" i="13"/>
  <c r="AT39" i="13"/>
  <c r="AS66" i="13"/>
  <c r="AT37" i="13"/>
  <c r="AT69" i="13"/>
  <c r="AS30" i="13"/>
  <c r="AS72" i="13"/>
  <c r="AT92" i="13"/>
  <c r="J85" i="2"/>
  <c r="J32" i="2"/>
  <c r="G60" i="3"/>
  <c r="J60" i="2"/>
  <c r="AP59" i="13" s="1"/>
  <c r="K84" i="2"/>
  <c r="AO83" i="13" s="1"/>
  <c r="G84" i="3"/>
  <c r="J84" i="2"/>
  <c r="AP83" i="13" s="1"/>
  <c r="J59" i="2"/>
  <c r="G59" i="3"/>
  <c r="K59" i="2"/>
  <c r="G55" i="3"/>
  <c r="J55" i="2"/>
  <c r="G23" i="5"/>
  <c r="K23" i="4"/>
  <c r="K17" i="2"/>
  <c r="AO16" i="19" s="1"/>
  <c r="G17" i="3"/>
  <c r="K5" i="4"/>
  <c r="AG4" i="13" s="1"/>
  <c r="AT27" i="13"/>
  <c r="AT45" i="13"/>
  <c r="AS17" i="13"/>
  <c r="J43" i="3"/>
  <c r="K77" i="3"/>
  <c r="AK76" i="13" s="1"/>
  <c r="G77" i="4"/>
  <c r="K77" i="4" s="1"/>
  <c r="AG76" i="13" s="1"/>
  <c r="K92" i="2"/>
  <c r="AO91" i="13" s="1"/>
  <c r="G92" i="3"/>
  <c r="J92" i="3" s="1"/>
  <c r="G87" i="4"/>
  <c r="K87" i="3"/>
  <c r="AK86" i="13" s="1"/>
  <c r="J46" i="2"/>
  <c r="G46" i="3"/>
  <c r="K46" i="2"/>
  <c r="H13" i="4"/>
  <c r="H13" i="5" s="1"/>
  <c r="H13" i="6" s="1"/>
  <c r="H13" i="7" s="1"/>
  <c r="H13" i="8" s="1"/>
  <c r="H13" i="9" s="1"/>
  <c r="H13" i="10" s="1"/>
  <c r="H13" i="11" s="1"/>
  <c r="H13" i="12" s="1"/>
  <c r="H31" i="4"/>
  <c r="H31" i="5" s="1"/>
  <c r="H31" i="6" s="1"/>
  <c r="H31" i="7" s="1"/>
  <c r="H31" i="8" s="1"/>
  <c r="H31" i="9" s="1"/>
  <c r="H31" i="10" s="1"/>
  <c r="H31" i="11" s="1"/>
  <c r="H31" i="12" s="1"/>
  <c r="H38" i="3"/>
  <c r="H38" i="4" s="1"/>
  <c r="H38" i="5" s="1"/>
  <c r="H38" i="6" s="1"/>
  <c r="H38" i="7" s="1"/>
  <c r="H38" i="8" s="1"/>
  <c r="H38" i="9" s="1"/>
  <c r="H38" i="10" s="1"/>
  <c r="H38" i="11" s="1"/>
  <c r="H38" i="12" s="1"/>
  <c r="J38" i="2"/>
  <c r="AP37" i="13" s="1"/>
  <c r="J8" i="2"/>
  <c r="AP7" i="13" s="1"/>
  <c r="G8" i="3"/>
  <c r="G86" i="3"/>
  <c r="J86" i="2"/>
  <c r="G82" i="4"/>
  <c r="K82" i="4" s="1"/>
  <c r="K82" i="3"/>
  <c r="AK81" i="13" s="1"/>
  <c r="K65" i="2"/>
  <c r="AO64" i="13" s="1"/>
  <c r="G65" i="3"/>
  <c r="J65" i="3" s="1"/>
  <c r="G57" i="4"/>
  <c r="K57" i="3"/>
  <c r="AK56" i="19" s="1"/>
  <c r="K51" i="2"/>
  <c r="AO50" i="19" s="1"/>
  <c r="G51" i="3"/>
  <c r="J19" i="3"/>
  <c r="AL18" i="13" s="1"/>
  <c r="H28" i="4"/>
  <c r="H28" i="5" s="1"/>
  <c r="H28" i="6" s="1"/>
  <c r="H28" i="7" s="1"/>
  <c r="H28" i="8" s="1"/>
  <c r="H28" i="9" s="1"/>
  <c r="H28" i="10" s="1"/>
  <c r="H28" i="11" s="1"/>
  <c r="H28" i="12" s="1"/>
  <c r="H33" i="4"/>
  <c r="H33" i="5" s="1"/>
  <c r="H33" i="6" s="1"/>
  <c r="H33" i="7" s="1"/>
  <c r="H33" i="8" s="1"/>
  <c r="H33" i="9" s="1"/>
  <c r="H33" i="10" s="1"/>
  <c r="H33" i="11" s="1"/>
  <c r="H33" i="12" s="1"/>
  <c r="J33" i="3"/>
  <c r="AL32" i="13" s="1"/>
  <c r="H96" i="4"/>
  <c r="H96" i="5" s="1"/>
  <c r="H96" i="6" s="1"/>
  <c r="H96" i="7" s="1"/>
  <c r="H96" i="8" s="1"/>
  <c r="H96" i="9" s="1"/>
  <c r="H96" i="10" s="1"/>
  <c r="H96" i="11" s="1"/>
  <c r="H96" i="12" s="1"/>
  <c r="J53" i="2"/>
  <c r="AP52" i="13" s="1"/>
  <c r="AS9" i="13"/>
  <c r="AS28" i="13"/>
  <c r="K35" i="2"/>
  <c r="AO34" i="13" s="1"/>
  <c r="G35" i="3"/>
  <c r="J94" i="2"/>
  <c r="AP93" i="13" s="1"/>
  <c r="G94" i="3"/>
  <c r="K44" i="2"/>
  <c r="G44" i="3"/>
  <c r="H80" i="3"/>
  <c r="H80" i="4" s="1"/>
  <c r="H80" i="5" s="1"/>
  <c r="H80" i="6" s="1"/>
  <c r="H80" i="7" s="1"/>
  <c r="H80" i="8" s="1"/>
  <c r="H80" i="9" s="1"/>
  <c r="H80" i="10" s="1"/>
  <c r="H80" i="11" s="1"/>
  <c r="H80" i="12" s="1"/>
  <c r="J80" i="2"/>
  <c r="J83" i="2"/>
  <c r="AP82" i="13" s="1"/>
  <c r="G83" i="3"/>
  <c r="J83" i="3" s="1"/>
  <c r="AL82" i="13" s="1"/>
  <c r="K54" i="2"/>
  <c r="AO53" i="19" s="1"/>
  <c r="G54" i="3"/>
  <c r="K45" i="2"/>
  <c r="G45" i="3"/>
  <c r="J18" i="2"/>
  <c r="AP17" i="19" s="1"/>
  <c r="G18" i="3"/>
  <c r="J21" i="2"/>
  <c r="AP20" i="13" s="1"/>
  <c r="G21" i="3"/>
  <c r="K96" i="2"/>
  <c r="AO95" i="13" s="1"/>
  <c r="G96" i="3"/>
  <c r="J96" i="3" s="1"/>
  <c r="AL95" i="13" s="1"/>
  <c r="K85" i="2"/>
  <c r="G85" i="3"/>
  <c r="K22" i="2"/>
  <c r="AO21" i="13" s="1"/>
  <c r="G22" i="3"/>
  <c r="H65" i="4"/>
  <c r="H65" i="5" s="1"/>
  <c r="H65" i="6" s="1"/>
  <c r="H65" i="7" s="1"/>
  <c r="H65" i="8" s="1"/>
  <c r="H65" i="9" s="1"/>
  <c r="H65" i="10" s="1"/>
  <c r="H65" i="11" s="1"/>
  <c r="H65" i="12" s="1"/>
  <c r="H71" i="4"/>
  <c r="H71" i="5" s="1"/>
  <c r="H71" i="6" s="1"/>
  <c r="H71" i="7" s="1"/>
  <c r="H71" i="8" s="1"/>
  <c r="H71" i="9" s="1"/>
  <c r="H71" i="10" s="1"/>
  <c r="H71" i="11" s="1"/>
  <c r="H71" i="12" s="1"/>
  <c r="J88" i="2"/>
  <c r="AP87" i="13" s="1"/>
  <c r="G88" i="3"/>
  <c r="K80" i="2"/>
  <c r="G80" i="3"/>
  <c r="K75" i="2"/>
  <c r="AO74" i="13" s="1"/>
  <c r="G75" i="3"/>
  <c r="K69" i="2"/>
  <c r="G69" i="3"/>
  <c r="J69" i="3" s="1"/>
  <c r="J63" i="2"/>
  <c r="AP62" i="19" s="1"/>
  <c r="G63" i="3"/>
  <c r="J63" i="3" s="1"/>
  <c r="J49" i="2"/>
  <c r="AP48" i="19" s="1"/>
  <c r="G49" i="3"/>
  <c r="J41" i="2"/>
  <c r="G41" i="3"/>
  <c r="J25" i="2"/>
  <c r="AP24" i="13" s="1"/>
  <c r="G25" i="3"/>
  <c r="K16" i="2"/>
  <c r="AO15" i="19" s="1"/>
  <c r="G16" i="3"/>
  <c r="J16" i="3" s="1"/>
  <c r="K12" i="2"/>
  <c r="AO11" i="13" s="1"/>
  <c r="G12" i="3"/>
  <c r="K6" i="2"/>
  <c r="AO5" i="13" s="1"/>
  <c r="G6" i="3"/>
  <c r="K81" i="2"/>
  <c r="G81" i="3"/>
  <c r="J76" i="2"/>
  <c r="AP75" i="13" s="1"/>
  <c r="G76" i="3"/>
  <c r="J74" i="2"/>
  <c r="AP73" i="13" s="1"/>
  <c r="G74" i="3"/>
  <c r="J74" i="3" s="1"/>
  <c r="K72" i="2"/>
  <c r="AO71" i="19" s="1"/>
  <c r="G72" i="3"/>
  <c r="J70" i="2"/>
  <c r="AP69" i="13" s="1"/>
  <c r="G70" i="3"/>
  <c r="J68" i="2"/>
  <c r="AP67" i="19" s="1"/>
  <c r="G68" i="3"/>
  <c r="K48" i="2"/>
  <c r="AO47" i="13" s="1"/>
  <c r="G48" i="3"/>
  <c r="J42" i="2"/>
  <c r="G42" i="3"/>
  <c r="K40" i="2"/>
  <c r="AO39" i="13" s="1"/>
  <c r="G40" i="3"/>
  <c r="K38" i="2"/>
  <c r="G38" i="3"/>
  <c r="K30" i="2"/>
  <c r="G30" i="3"/>
  <c r="J24" i="2"/>
  <c r="AP23" i="19" s="1"/>
  <c r="G24" i="3"/>
  <c r="K15" i="2"/>
  <c r="G15" i="3"/>
  <c r="H79" i="3"/>
  <c r="AI23" i="19"/>
  <c r="AI23" i="13"/>
  <c r="AI40" i="19"/>
  <c r="AI40" i="13"/>
  <c r="AI42" i="19"/>
  <c r="AI42" i="13"/>
  <c r="AI73" i="19"/>
  <c r="AI88" i="19"/>
  <c r="AI50" i="19"/>
  <c r="AI50" i="13"/>
  <c r="AJ58" i="19"/>
  <c r="AJ58" i="13"/>
  <c r="AJ62" i="19"/>
  <c r="AJ62" i="13"/>
  <c r="AI92" i="13"/>
  <c r="AJ79" i="19"/>
  <c r="AI67" i="19"/>
  <c r="AJ66" i="13"/>
  <c r="AI38" i="19"/>
  <c r="AJ13" i="19"/>
  <c r="AJ13" i="13"/>
  <c r="AJ28" i="19"/>
  <c r="AJ28" i="13"/>
  <c r="AI83" i="19"/>
  <c r="AI83" i="13"/>
  <c r="AI85" i="19"/>
  <c r="AI85" i="13"/>
  <c r="AJ75" i="13"/>
  <c r="AJ54" i="19"/>
  <c r="AJ54" i="13"/>
  <c r="AJ56" i="19"/>
  <c r="AJ56" i="13"/>
  <c r="AI69" i="19"/>
  <c r="AI63" i="13"/>
  <c r="AJ31" i="19"/>
  <c r="AI8" i="19"/>
  <c r="AI8" i="13"/>
  <c r="AJ15" i="19"/>
  <c r="AJ15" i="13"/>
  <c r="AJ17" i="19"/>
  <c r="AJ17" i="13"/>
  <c r="AJ38" i="19"/>
  <c r="AJ38" i="13"/>
  <c r="AJ40" i="19"/>
  <c r="AJ40" i="13"/>
  <c r="AJ42" i="19"/>
  <c r="AJ42" i="13"/>
  <c r="AJ44" i="19"/>
  <c r="AJ44" i="13"/>
  <c r="AJ67" i="19"/>
  <c r="AJ67" i="13"/>
  <c r="AJ69" i="19"/>
  <c r="AJ69" i="13"/>
  <c r="AJ71" i="19"/>
  <c r="AJ71" i="13"/>
  <c r="AJ73" i="19"/>
  <c r="AJ73" i="13"/>
  <c r="G56" i="5"/>
  <c r="K56" i="5" s="1"/>
  <c r="AC55" i="19" s="1"/>
  <c r="K56" i="4"/>
  <c r="AG55" i="13" s="1"/>
  <c r="AK13" i="13"/>
  <c r="AN92" i="13"/>
  <c r="AM91" i="19"/>
  <c r="AM87" i="13"/>
  <c r="AN86" i="13"/>
  <c r="AM88" i="13"/>
  <c r="AN80" i="19"/>
  <c r="AN81" i="13"/>
  <c r="AN46" i="13"/>
  <c r="AM53" i="13"/>
  <c r="AN53" i="13"/>
  <c r="AN44" i="13"/>
  <c r="AN50" i="13"/>
  <c r="AM75" i="13"/>
  <c r="AM69" i="13"/>
  <c r="AM68" i="13"/>
  <c r="AM67" i="19"/>
  <c r="AM55" i="13"/>
  <c r="AM37" i="13"/>
  <c r="AN36" i="13"/>
  <c r="AM41" i="13"/>
  <c r="AM92" i="19"/>
  <c r="AM92" i="13"/>
  <c r="AN85" i="19"/>
  <c r="AN85" i="13"/>
  <c r="AN83" i="19"/>
  <c r="AN83" i="13"/>
  <c r="AN79" i="19"/>
  <c r="AN79" i="13"/>
  <c r="AM72" i="19"/>
  <c r="AM72" i="13"/>
  <c r="AM66" i="19"/>
  <c r="AM66" i="13"/>
  <c r="AM56" i="19"/>
  <c r="AM56" i="13"/>
  <c r="AN49" i="13"/>
  <c r="AN49" i="19"/>
  <c r="AN43" i="13"/>
  <c r="AN43" i="19"/>
  <c r="AN39" i="19"/>
  <c r="AN39" i="13"/>
  <c r="AN35" i="19"/>
  <c r="AN35" i="13"/>
  <c r="AN31" i="13"/>
  <c r="AN31" i="19"/>
  <c r="AN29" i="13"/>
  <c r="AN29" i="19"/>
  <c r="H18" i="5"/>
  <c r="H23" i="5"/>
  <c r="J23" i="4"/>
  <c r="H27" i="3"/>
  <c r="E27" i="3"/>
  <c r="AN26" i="13" s="1"/>
  <c r="AM63" i="13"/>
  <c r="AM74" i="13"/>
  <c r="AN47" i="13"/>
  <c r="J23" i="3"/>
  <c r="K58" i="4"/>
  <c r="G58" i="5"/>
  <c r="E77" i="3"/>
  <c r="AN76" i="13" s="1"/>
  <c r="E35" i="3"/>
  <c r="AN34" i="13" s="1"/>
  <c r="H77" i="3"/>
  <c r="AM54" i="13"/>
  <c r="AN41" i="13"/>
  <c r="H19" i="5"/>
  <c r="H19" i="6" s="1"/>
  <c r="H19" i="7" s="1"/>
  <c r="H19" i="8" s="1"/>
  <c r="H19" i="9" s="1"/>
  <c r="H19" i="10" s="1"/>
  <c r="H19" i="11" s="1"/>
  <c r="H19" i="12" s="1"/>
  <c r="AN87" i="19"/>
  <c r="G5" i="6"/>
  <c r="G5" i="7" s="1"/>
  <c r="K5" i="5"/>
  <c r="AC4" i="13" s="1"/>
  <c r="H10" i="4"/>
  <c r="H16" i="4"/>
  <c r="H82" i="4"/>
  <c r="H82" i="5" s="1"/>
  <c r="J82" i="3"/>
  <c r="H21" i="3"/>
  <c r="G33" i="5"/>
  <c r="H11" i="5"/>
  <c r="H11" i="6" s="1"/>
  <c r="H11" i="7" s="1"/>
  <c r="H11" i="8" s="1"/>
  <c r="H11" i="9" s="1"/>
  <c r="H11" i="10" s="1"/>
  <c r="H11" i="11" s="1"/>
  <c r="H11" i="12" s="1"/>
  <c r="H63" i="4"/>
  <c r="H69" i="4"/>
  <c r="H83" i="4"/>
  <c r="H56" i="5"/>
  <c r="H56" i="6" s="1"/>
  <c r="H56" i="7" s="1"/>
  <c r="H56" i="8" s="1"/>
  <c r="H56" i="9" s="1"/>
  <c r="H56" i="10" s="1"/>
  <c r="H56" i="11" s="1"/>
  <c r="H56" i="12" s="1"/>
  <c r="J56" i="4"/>
  <c r="H93" i="5"/>
  <c r="H93" i="6" s="1"/>
  <c r="H93" i="7" s="1"/>
  <c r="H93" i="8" s="1"/>
  <c r="H93" i="9" s="1"/>
  <c r="H93" i="10" s="1"/>
  <c r="H93" i="11" s="1"/>
  <c r="H93" i="12" s="1"/>
  <c r="AM12" i="13"/>
  <c r="K28" i="4"/>
  <c r="G28" i="5"/>
  <c r="H92" i="4"/>
  <c r="H92" i="5" s="1"/>
  <c r="H92" i="6" s="1"/>
  <c r="H92" i="7" s="1"/>
  <c r="H92" i="8" s="1"/>
  <c r="H92" i="9" s="1"/>
  <c r="H92" i="10" s="1"/>
  <c r="H92" i="11" s="1"/>
  <c r="H92" i="12" s="1"/>
  <c r="H35" i="3"/>
  <c r="AM57" i="19"/>
  <c r="AM57" i="13"/>
  <c r="AN30" i="19"/>
  <c r="AN30" i="13"/>
  <c r="AN23" i="19"/>
  <c r="AN23" i="13"/>
  <c r="AN11" i="19"/>
  <c r="AN11" i="13"/>
  <c r="G67" i="5"/>
  <c r="K67" i="4"/>
  <c r="AN15" i="13"/>
  <c r="AN48" i="13"/>
  <c r="K11" i="4"/>
  <c r="AN27" i="13"/>
  <c r="AM21" i="13"/>
  <c r="AM58" i="13"/>
  <c r="AM15" i="13"/>
  <c r="AN16" i="13"/>
  <c r="AM14" i="13"/>
  <c r="AN22" i="13"/>
  <c r="AN18" i="13"/>
  <c r="AM18" i="13"/>
  <c r="AM61" i="13"/>
  <c r="J5" i="2"/>
  <c r="AP4" i="13" s="1"/>
  <c r="AR69" i="13"/>
  <c r="AQ69" i="13"/>
  <c r="K70" i="2"/>
  <c r="J40" i="2"/>
  <c r="AP39" i="13" s="1"/>
  <c r="AR39" i="13"/>
  <c r="J35" i="2"/>
  <c r="AP34" i="13" s="1"/>
  <c r="F5" i="2"/>
  <c r="AQ4" i="13" s="1"/>
  <c r="K8" i="2"/>
  <c r="AO7" i="13" s="1"/>
  <c r="E5" i="2"/>
  <c r="AR4" i="13" s="1"/>
  <c r="J6" i="2"/>
  <c r="AP5" i="13" s="1"/>
  <c r="K91" i="2"/>
  <c r="AO90" i="13" s="1"/>
  <c r="J91" i="2"/>
  <c r="AP90" i="13" s="1"/>
  <c r="J77" i="2"/>
  <c r="AP76" i="13" s="1"/>
  <c r="K77" i="2"/>
  <c r="AO76" i="13" s="1"/>
  <c r="K58" i="2"/>
  <c r="J58" i="2"/>
  <c r="AP57" i="13" s="1"/>
  <c r="K36" i="2"/>
  <c r="J36" i="2"/>
  <c r="J14" i="2"/>
  <c r="K14" i="2"/>
  <c r="AO13" i="13" s="1"/>
  <c r="J10" i="2"/>
  <c r="K10" i="2"/>
  <c r="AQ72" i="13"/>
  <c r="AQ72" i="19"/>
  <c r="K94" i="2"/>
  <c r="AO93" i="13" s="1"/>
  <c r="K83" i="2"/>
  <c r="AO82" i="13" s="1"/>
  <c r="K63" i="2"/>
  <c r="J54" i="2"/>
  <c r="J44" i="2"/>
  <c r="AP43" i="13" s="1"/>
  <c r="K24" i="2"/>
  <c r="K87" i="2"/>
  <c r="AO86" i="19" s="1"/>
  <c r="J87" i="2"/>
  <c r="AP86" i="13" s="1"/>
  <c r="K62" i="2"/>
  <c r="AO61" i="13" s="1"/>
  <c r="J62" i="2"/>
  <c r="AP61" i="13" s="1"/>
  <c r="J39" i="2"/>
  <c r="AP38" i="13" s="1"/>
  <c r="K39" i="2"/>
  <c r="AO38" i="19" s="1"/>
  <c r="AR36" i="13"/>
  <c r="AR50" i="13"/>
  <c r="AR81" i="13"/>
  <c r="AQ21" i="13"/>
  <c r="AQ56" i="19"/>
  <c r="AR86" i="13"/>
  <c r="AR58" i="13"/>
  <c r="AQ39" i="13"/>
  <c r="AQ39" i="19"/>
  <c r="AQ8" i="19"/>
  <c r="AQ8" i="13"/>
  <c r="J48" i="2"/>
  <c r="K5" i="2"/>
  <c r="AO4" i="13" s="1"/>
  <c r="K21" i="2"/>
  <c r="AO20" i="13" s="1"/>
  <c r="AR23" i="13"/>
  <c r="AR40" i="13"/>
  <c r="AQ29" i="13"/>
  <c r="AQ54" i="19"/>
  <c r="K68" i="2"/>
  <c r="K18" i="2"/>
  <c r="AR35" i="13"/>
  <c r="AR43" i="13"/>
  <c r="AR91" i="13"/>
  <c r="AQ86" i="19"/>
  <c r="AQ86" i="13"/>
  <c r="AQ84" i="19"/>
  <c r="AQ84" i="13"/>
  <c r="AR79" i="13"/>
  <c r="AQ74" i="13"/>
  <c r="AQ74" i="19"/>
  <c r="AQ70" i="13"/>
  <c r="AQ70" i="19"/>
  <c r="AQ68" i="13"/>
  <c r="AQ68" i="19"/>
  <c r="AQ66" i="13"/>
  <c r="AQ66" i="19"/>
  <c r="AQ63" i="13"/>
  <c r="AQ63" i="19"/>
  <c r="AQ61" i="13"/>
  <c r="AQ61" i="19"/>
  <c r="AR15" i="13"/>
  <c r="AR13" i="13"/>
  <c r="AR9" i="13"/>
  <c r="K79" i="2"/>
  <c r="AO78" i="13" s="1"/>
  <c r="J79" i="2"/>
  <c r="AP78" i="13" s="1"/>
  <c r="K93" i="2"/>
  <c r="J93" i="2"/>
  <c r="K82" i="2"/>
  <c r="J82" i="2"/>
  <c r="K71" i="2"/>
  <c r="J71" i="2"/>
  <c r="K67" i="2"/>
  <c r="J67" i="2"/>
  <c r="J57" i="2"/>
  <c r="K57" i="2"/>
  <c r="K47" i="2"/>
  <c r="J47" i="2"/>
  <c r="J43" i="2"/>
  <c r="K43" i="2"/>
  <c r="J33" i="2"/>
  <c r="AP32" i="13" s="1"/>
  <c r="K33" i="2"/>
  <c r="AO32" i="13" s="1"/>
  <c r="K29" i="2"/>
  <c r="J29" i="2"/>
  <c r="K23" i="2"/>
  <c r="J23" i="2"/>
  <c r="K13" i="2"/>
  <c r="J13" i="2"/>
  <c r="K9" i="2"/>
  <c r="J9" i="2"/>
  <c r="AQ88" i="13"/>
  <c r="J17" i="2"/>
  <c r="J75" i="2"/>
  <c r="J51" i="2"/>
  <c r="AR84" i="13"/>
  <c r="AQ49" i="13"/>
  <c r="AQ49" i="19"/>
  <c r="AQ45" i="13"/>
  <c r="AQ45" i="19"/>
  <c r="AQ37" i="13"/>
  <c r="AQ37" i="19"/>
  <c r="AQ16" i="19"/>
  <c r="AQ16" i="13"/>
  <c r="AQ12" i="19"/>
  <c r="AQ12" i="13"/>
  <c r="AO73" i="19"/>
  <c r="AR21" i="13"/>
  <c r="AQ10" i="13"/>
  <c r="AQ31" i="19"/>
  <c r="AQ43" i="13"/>
  <c r="AQ92" i="13"/>
  <c r="AQ35" i="19"/>
  <c r="AR55" i="13"/>
  <c r="K89" i="2"/>
  <c r="J89" i="2"/>
  <c r="K73" i="2"/>
  <c r="J73" i="2"/>
  <c r="K64" i="2"/>
  <c r="J64" i="2"/>
  <c r="K19" i="2"/>
  <c r="J19" i="2"/>
  <c r="K11" i="2"/>
  <c r="J11" i="2"/>
  <c r="G11" i="5" l="1"/>
  <c r="K37" i="3"/>
  <c r="AO48" i="13"/>
  <c r="K37" i="4"/>
  <c r="J11" i="3"/>
  <c r="AL10" i="13" s="1"/>
  <c r="K11" i="3"/>
  <c r="H14" i="4"/>
  <c r="AG30" i="19"/>
  <c r="G53" i="5"/>
  <c r="K64" i="3"/>
  <c r="AK63" i="19" s="1"/>
  <c r="AP80" i="19"/>
  <c r="P102" i="19"/>
  <c r="P112" i="19" s="1"/>
  <c r="AO41" i="19"/>
  <c r="AK28" i="19"/>
  <c r="G77" i="5"/>
  <c r="K77" i="5" s="1"/>
  <c r="AC76" i="13" s="1"/>
  <c r="AO55" i="19"/>
  <c r="O101" i="19"/>
  <c r="O111" i="19" s="1"/>
  <c r="K79" i="4"/>
  <c r="AG78" i="13" s="1"/>
  <c r="G73" i="5"/>
  <c r="G73" i="6" s="1"/>
  <c r="P100" i="19"/>
  <c r="P106" i="19" s="1"/>
  <c r="P116" i="19" s="1"/>
  <c r="AO87" i="19"/>
  <c r="J37" i="3"/>
  <c r="J39" i="3"/>
  <c r="AL38" i="19" s="1"/>
  <c r="P105" i="19"/>
  <c r="P115" i="19" s="1"/>
  <c r="J58" i="3"/>
  <c r="AL57" i="13" s="1"/>
  <c r="K79" i="3"/>
  <c r="AK78" i="13" s="1"/>
  <c r="P103" i="19"/>
  <c r="P113" i="19" s="1"/>
  <c r="K89" i="3"/>
  <c r="AK88" i="13" s="1"/>
  <c r="O104" i="19"/>
  <c r="O114" i="19" s="1"/>
  <c r="K89" i="4"/>
  <c r="J71" i="3"/>
  <c r="AL70" i="13" s="1"/>
  <c r="G29" i="4"/>
  <c r="G29" i="5" s="1"/>
  <c r="J29" i="5" s="1"/>
  <c r="AD28" i="13" s="1"/>
  <c r="P101" i="19"/>
  <c r="P111" i="19" s="1"/>
  <c r="G31" i="5"/>
  <c r="G62" i="4"/>
  <c r="K62" i="4" s="1"/>
  <c r="J47" i="3"/>
  <c r="AL46" i="13" s="1"/>
  <c r="K31" i="3"/>
  <c r="AK30" i="13" s="1"/>
  <c r="P104" i="19"/>
  <c r="P114" i="19" s="1"/>
  <c r="O102" i="19"/>
  <c r="O112" i="19" s="1"/>
  <c r="AO54" i="13"/>
  <c r="K13" i="4"/>
  <c r="AG12" i="13" s="1"/>
  <c r="H67" i="4"/>
  <c r="H67" i="5" s="1"/>
  <c r="H67" i="6" s="1"/>
  <c r="H67" i="7" s="1"/>
  <c r="H67" i="8" s="1"/>
  <c r="H67" i="9" s="1"/>
  <c r="H67" i="10" s="1"/>
  <c r="H67" i="11" s="1"/>
  <c r="H67" i="12" s="1"/>
  <c r="H103" i="19"/>
  <c r="H113" i="19" s="1"/>
  <c r="I15" i="20"/>
  <c r="K89" i="5"/>
  <c r="AC88" i="13" s="1"/>
  <c r="G10" i="6"/>
  <c r="G10" i="7" s="1"/>
  <c r="K10" i="7" s="1"/>
  <c r="U9" i="13" s="1"/>
  <c r="AE103" i="19"/>
  <c r="AE113" i="19" s="1"/>
  <c r="AE101" i="19"/>
  <c r="AE111" i="19" s="1"/>
  <c r="AE102" i="19"/>
  <c r="AE112" i="19" s="1"/>
  <c r="AE104" i="19"/>
  <c r="AE114" i="19" s="1"/>
  <c r="J47" i="4"/>
  <c r="AH46" i="19" s="1"/>
  <c r="J89" i="4"/>
  <c r="AH88" i="19" s="1"/>
  <c r="J64" i="3"/>
  <c r="AL63" i="13" s="1"/>
  <c r="G93" i="4"/>
  <c r="K93" i="4" s="1"/>
  <c r="J73" i="3"/>
  <c r="AL72" i="13" s="1"/>
  <c r="J13" i="3"/>
  <c r="AL12" i="19" s="1"/>
  <c r="O103" i="19"/>
  <c r="O113" i="19" s="1"/>
  <c r="AP91" i="13"/>
  <c r="AO75" i="19"/>
  <c r="K47" i="4"/>
  <c r="AG46" i="19" s="1"/>
  <c r="K10" i="4"/>
  <c r="AG9" i="13" s="1"/>
  <c r="J53" i="4"/>
  <c r="AH52" i="13" s="1"/>
  <c r="K71" i="4"/>
  <c r="AG70" i="13" s="1"/>
  <c r="J76" i="3"/>
  <c r="AL75" i="19" s="1"/>
  <c r="J88" i="3"/>
  <c r="AL87" i="19" s="1"/>
  <c r="K93" i="3"/>
  <c r="K91" i="7"/>
  <c r="U90" i="13" s="1"/>
  <c r="G19" i="4"/>
  <c r="G19" i="5" s="1"/>
  <c r="G19" i="6" s="1"/>
  <c r="J19" i="6" s="1"/>
  <c r="J57" i="4"/>
  <c r="AH56" i="19" s="1"/>
  <c r="J87" i="3"/>
  <c r="AL86" i="19" s="1"/>
  <c r="J9" i="3"/>
  <c r="AL8" i="19" s="1"/>
  <c r="G36" i="4"/>
  <c r="J36" i="4" s="1"/>
  <c r="AH35" i="13" s="1"/>
  <c r="J57" i="3"/>
  <c r="AL56" i="19" s="1"/>
  <c r="AK38" i="13"/>
  <c r="K27" i="4"/>
  <c r="AG26" i="13" s="1"/>
  <c r="J29" i="3"/>
  <c r="AL28" i="19" s="1"/>
  <c r="K91" i="4"/>
  <c r="AG90" i="13" s="1"/>
  <c r="J62" i="3"/>
  <c r="AL61" i="13" s="1"/>
  <c r="K91" i="6"/>
  <c r="Y90" i="13" s="1"/>
  <c r="AO85" i="13"/>
  <c r="AE105" i="19"/>
  <c r="AE115" i="19" s="1"/>
  <c r="M13" i="15"/>
  <c r="N13" i="15" s="1"/>
  <c r="O100" i="19"/>
  <c r="O109" i="19" s="1"/>
  <c r="O119" i="19" s="1"/>
  <c r="J10" i="3"/>
  <c r="AL9" i="19" s="1"/>
  <c r="K47" i="3"/>
  <c r="AK46" i="19" s="1"/>
  <c r="K36" i="3"/>
  <c r="AK35" i="13" s="1"/>
  <c r="K10" i="3"/>
  <c r="AK9" i="19" s="1"/>
  <c r="J53" i="3"/>
  <c r="AL52" i="13" s="1"/>
  <c r="G39" i="4"/>
  <c r="K39" i="4" s="1"/>
  <c r="AG38" i="13" s="1"/>
  <c r="K91" i="5"/>
  <c r="AC90" i="13" s="1"/>
  <c r="O105" i="19"/>
  <c r="O115" i="19" s="1"/>
  <c r="J58" i="4"/>
  <c r="AH57" i="13" s="1"/>
  <c r="J31" i="3"/>
  <c r="AL30" i="19" s="1"/>
  <c r="K71" i="3"/>
  <c r="AK70" i="13" s="1"/>
  <c r="J89" i="3"/>
  <c r="AL88" i="19" s="1"/>
  <c r="K73" i="3"/>
  <c r="AK72" i="19" s="1"/>
  <c r="AO40" i="19"/>
  <c r="K91" i="3"/>
  <c r="AK90" i="13" s="1"/>
  <c r="K13" i="3"/>
  <c r="AK12" i="19" s="1"/>
  <c r="AE100" i="19"/>
  <c r="AE109" i="19" s="1"/>
  <c r="AE119" i="19" s="1"/>
  <c r="AS101" i="19"/>
  <c r="AS111" i="19" s="1"/>
  <c r="AS105" i="19"/>
  <c r="AS102" i="19"/>
  <c r="AS112" i="19" s="1"/>
  <c r="AS103" i="19"/>
  <c r="AS113" i="19" s="1"/>
  <c r="AS104" i="19"/>
  <c r="AS114" i="19" s="1"/>
  <c r="AF100" i="19"/>
  <c r="AF106" i="19" s="1"/>
  <c r="AF116" i="19" s="1"/>
  <c r="W105" i="19"/>
  <c r="W115" i="19" s="1"/>
  <c r="AS56" i="15"/>
  <c r="AT56" i="15" s="1"/>
  <c r="X103" i="19"/>
  <c r="X113" i="19" s="1"/>
  <c r="AM39" i="15"/>
  <c r="AN39" i="15" s="1"/>
  <c r="AM101" i="19"/>
  <c r="AM111" i="19" s="1"/>
  <c r="O9" i="15"/>
  <c r="P9" i="15" s="1"/>
  <c r="D103" i="19"/>
  <c r="D113" i="19" s="1"/>
  <c r="X101" i="19"/>
  <c r="X111" i="19" s="1"/>
  <c r="X104" i="19"/>
  <c r="X114" i="19" s="1"/>
  <c r="D100" i="19"/>
  <c r="D109" i="19" s="1"/>
  <c r="D119" i="19" s="1"/>
  <c r="M9" i="15"/>
  <c r="N9" i="15" s="1"/>
  <c r="AF105" i="19"/>
  <c r="AF115" i="19" s="1"/>
  <c r="M5" i="15"/>
  <c r="N5" i="15" s="1"/>
  <c r="O4" i="15"/>
  <c r="P4" i="15" s="1"/>
  <c r="X102" i="19"/>
  <c r="X112" i="19" s="1"/>
  <c r="X100" i="19"/>
  <c r="X110" i="19" s="1"/>
  <c r="X120" i="19" s="1"/>
  <c r="AK53" i="15"/>
  <c r="AL53" i="15" s="1"/>
  <c r="T105" i="19"/>
  <c r="T115" i="19" s="1"/>
  <c r="AM100" i="19"/>
  <c r="AM106" i="19" s="1"/>
  <c r="AM116" i="19" s="1"/>
  <c r="AK50" i="15"/>
  <c r="AL50" i="15" s="1"/>
  <c r="D104" i="19"/>
  <c r="D114" i="19" s="1"/>
  <c r="D105" i="19"/>
  <c r="D115" i="19" s="1"/>
  <c r="D101" i="19"/>
  <c r="D111" i="19" s="1"/>
  <c r="D102" i="19"/>
  <c r="D112" i="19" s="1"/>
  <c r="C100" i="19"/>
  <c r="C109" i="19" s="1"/>
  <c r="C119" i="19" s="1"/>
  <c r="C105" i="19"/>
  <c r="C115" i="19" s="1"/>
  <c r="C104" i="19"/>
  <c r="C114" i="19" s="1"/>
  <c r="C101" i="19"/>
  <c r="C111" i="19" s="1"/>
  <c r="C103" i="19"/>
  <c r="C113" i="19" s="1"/>
  <c r="C102" i="19"/>
  <c r="C112" i="19" s="1"/>
  <c r="H105" i="19"/>
  <c r="H115" i="19" s="1"/>
  <c r="H104" i="19"/>
  <c r="H114" i="19" s="1"/>
  <c r="H101" i="19"/>
  <c r="H111" i="19" s="1"/>
  <c r="H102" i="19"/>
  <c r="H112" i="19" s="1"/>
  <c r="G100" i="19"/>
  <c r="G109" i="19" s="1"/>
  <c r="G119" i="19" s="1"/>
  <c r="H100" i="19"/>
  <c r="H106" i="19" s="1"/>
  <c r="H116" i="19" s="1"/>
  <c r="G101" i="19"/>
  <c r="G111" i="19" s="1"/>
  <c r="G104" i="19"/>
  <c r="G114" i="19" s="1"/>
  <c r="G102" i="19"/>
  <c r="G112" i="19" s="1"/>
  <c r="G103" i="19"/>
  <c r="G113" i="19" s="1"/>
  <c r="G105" i="19"/>
  <c r="G115" i="19" s="1"/>
  <c r="K103" i="19"/>
  <c r="K113" i="19" s="1"/>
  <c r="K102" i="19"/>
  <c r="K112" i="19" s="1"/>
  <c r="K105" i="19"/>
  <c r="K115" i="19" s="1"/>
  <c r="K100" i="19"/>
  <c r="K108" i="19" s="1"/>
  <c r="K118" i="19" s="1"/>
  <c r="K104" i="19"/>
  <c r="K114" i="19" s="1"/>
  <c r="K101" i="19"/>
  <c r="K111" i="19" s="1"/>
  <c r="L103" i="19"/>
  <c r="L113" i="19" s="1"/>
  <c r="L105" i="19"/>
  <c r="L115" i="19" s="1"/>
  <c r="L101" i="19"/>
  <c r="L111" i="19" s="1"/>
  <c r="L102" i="19"/>
  <c r="L112" i="19" s="1"/>
  <c r="L104" i="19"/>
  <c r="L114" i="19" s="1"/>
  <c r="L100" i="19"/>
  <c r="P108" i="19"/>
  <c r="P118" i="19" s="1"/>
  <c r="AK38" i="15"/>
  <c r="AL38" i="15" s="1"/>
  <c r="AM46" i="15"/>
  <c r="AN46" i="15" s="1"/>
  <c r="AK48" i="15"/>
  <c r="AL48" i="15" s="1"/>
  <c r="T100" i="19"/>
  <c r="T108" i="19" s="1"/>
  <c r="T118" i="19" s="1"/>
  <c r="AK46" i="15"/>
  <c r="AL46" i="15" s="1"/>
  <c r="AK42" i="15"/>
  <c r="AL42" i="15" s="1"/>
  <c r="T102" i="19"/>
  <c r="T112" i="19" s="1"/>
  <c r="AM51" i="15"/>
  <c r="AN51" i="15" s="1"/>
  <c r="AM37" i="15"/>
  <c r="AN37" i="15" s="1"/>
  <c r="AK43" i="15"/>
  <c r="AL43" i="15" s="1"/>
  <c r="AM44" i="15"/>
  <c r="AN44" i="15" s="1"/>
  <c r="AM41" i="15"/>
  <c r="AN41" i="15" s="1"/>
  <c r="AM45" i="15"/>
  <c r="AN45" i="15" s="1"/>
  <c r="AK52" i="15"/>
  <c r="AL52" i="15" s="1"/>
  <c r="AK44" i="15"/>
  <c r="AL44" i="15" s="1"/>
  <c r="AK51" i="15"/>
  <c r="AL51" i="15" s="1"/>
  <c r="AK49" i="15"/>
  <c r="AL49" i="15" s="1"/>
  <c r="AM50" i="15"/>
  <c r="AN50" i="15" s="1"/>
  <c r="AM40" i="15"/>
  <c r="AN40" i="15" s="1"/>
  <c r="AM38" i="15"/>
  <c r="AN38" i="15" s="1"/>
  <c r="AM53" i="15"/>
  <c r="AN53" i="15" s="1"/>
  <c r="T101" i="19"/>
  <c r="T111" i="19" s="1"/>
  <c r="T103" i="19"/>
  <c r="T113" i="19" s="1"/>
  <c r="AK37" i="15"/>
  <c r="AL37" i="15" s="1"/>
  <c r="AM43" i="15"/>
  <c r="AN43" i="15" s="1"/>
  <c r="AK45" i="15"/>
  <c r="AL45" i="15" s="1"/>
  <c r="AK41" i="15"/>
  <c r="AL41" i="15" s="1"/>
  <c r="AM42" i="15"/>
  <c r="AN42" i="15" s="1"/>
  <c r="AM47" i="15"/>
  <c r="AN47" i="15" s="1"/>
  <c r="T104" i="19"/>
  <c r="T114" i="19" s="1"/>
  <c r="AK47" i="15"/>
  <c r="AL47" i="15" s="1"/>
  <c r="AK40" i="15"/>
  <c r="AL40" i="15" s="1"/>
  <c r="AM52" i="15"/>
  <c r="AN52" i="15" s="1"/>
  <c r="AM49" i="15"/>
  <c r="AN49" i="15" s="1"/>
  <c r="AM48" i="15"/>
  <c r="AN48" i="15" s="1"/>
  <c r="AK39" i="15"/>
  <c r="AL39" i="15" s="1"/>
  <c r="S101" i="19"/>
  <c r="S111" i="19" s="1"/>
  <c r="S102" i="19"/>
  <c r="S112" i="19" s="1"/>
  <c r="S104" i="19"/>
  <c r="S114" i="19" s="1"/>
  <c r="S105" i="19"/>
  <c r="S115" i="19" s="1"/>
  <c r="S100" i="19"/>
  <c r="S103" i="19"/>
  <c r="S113" i="19" s="1"/>
  <c r="AU37" i="15"/>
  <c r="AV37" i="15" s="1"/>
  <c r="AS57" i="15"/>
  <c r="AT57" i="15" s="1"/>
  <c r="X105" i="19"/>
  <c r="X115" i="19" s="1"/>
  <c r="AU44" i="15"/>
  <c r="AV44" i="15" s="1"/>
  <c r="AS48" i="15"/>
  <c r="AT48" i="15" s="1"/>
  <c r="AU46" i="15"/>
  <c r="AV46" i="15" s="1"/>
  <c r="AS44" i="15"/>
  <c r="AT44" i="15" s="1"/>
  <c r="AS60" i="15"/>
  <c r="AT60" i="15" s="1"/>
  <c r="AS49" i="15"/>
  <c r="AT49" i="15" s="1"/>
  <c r="W102" i="19"/>
  <c r="W112" i="19" s="1"/>
  <c r="AU43" i="15"/>
  <c r="AV43" i="15" s="1"/>
  <c r="W104" i="19"/>
  <c r="W114" i="19" s="1"/>
  <c r="AS51" i="15"/>
  <c r="AT51" i="15" s="1"/>
  <c r="AS43" i="15"/>
  <c r="AT43" i="15" s="1"/>
  <c r="AS37" i="15"/>
  <c r="AT37" i="15" s="1"/>
  <c r="AS39" i="15"/>
  <c r="AT39" i="15" s="1"/>
  <c r="AS46" i="15"/>
  <c r="AT46" i="15" s="1"/>
  <c r="AU47" i="15"/>
  <c r="AV47" i="15" s="1"/>
  <c r="AU41" i="15"/>
  <c r="AV41" i="15" s="1"/>
  <c r="AU40" i="15"/>
  <c r="AV40" i="15" s="1"/>
  <c r="W101" i="19"/>
  <c r="W111" i="19" s="1"/>
  <c r="AS58" i="15"/>
  <c r="AT58" i="15" s="1"/>
  <c r="AS59" i="15"/>
  <c r="AT59" i="15" s="1"/>
  <c r="AS52" i="15"/>
  <c r="AT52" i="15" s="1"/>
  <c r="AS47" i="15"/>
  <c r="AT47" i="15" s="1"/>
  <c r="AS54" i="15"/>
  <c r="AT54" i="15" s="1"/>
  <c r="AS40" i="15"/>
  <c r="AT40" i="15" s="1"/>
  <c r="AU39" i="15"/>
  <c r="AV39" i="15" s="1"/>
  <c r="AU45" i="15"/>
  <c r="AV45" i="15" s="1"/>
  <c r="AU42" i="15"/>
  <c r="AV42" i="15" s="1"/>
  <c r="W100" i="19"/>
  <c r="W110" i="19" s="1"/>
  <c r="W120" i="19" s="1"/>
  <c r="AU38" i="15"/>
  <c r="AV38" i="15" s="1"/>
  <c r="W103" i="19"/>
  <c r="W113" i="19" s="1"/>
  <c r="AS53" i="15"/>
  <c r="AT53" i="15" s="1"/>
  <c r="AS50" i="15"/>
  <c r="AT50" i="15" s="1"/>
  <c r="AS42" i="15"/>
  <c r="AT42" i="15" s="1"/>
  <c r="AS55" i="15"/>
  <c r="AT55" i="15" s="1"/>
  <c r="AS41" i="15"/>
  <c r="AT41" i="15" s="1"/>
  <c r="AS45" i="15"/>
  <c r="AT45" i="15" s="1"/>
  <c r="AS38" i="15"/>
  <c r="AT38" i="15" s="1"/>
  <c r="X109" i="19"/>
  <c r="X119" i="19" s="1"/>
  <c r="E9" i="15"/>
  <c r="F9" i="15" s="1"/>
  <c r="E20" i="15"/>
  <c r="F20" i="15" s="1"/>
  <c r="AB104" i="19"/>
  <c r="AB114" i="19" s="1"/>
  <c r="G11" i="15"/>
  <c r="H11" i="15" s="1"/>
  <c r="E19" i="15"/>
  <c r="F19" i="15" s="1"/>
  <c r="G7" i="15"/>
  <c r="H7" i="15" s="1"/>
  <c r="E4" i="15"/>
  <c r="F4" i="15" s="1"/>
  <c r="AB105" i="19"/>
  <c r="AB115" i="19" s="1"/>
  <c r="G10" i="15"/>
  <c r="H10" i="15" s="1"/>
  <c r="G6" i="15"/>
  <c r="H6" i="15" s="1"/>
  <c r="E12" i="15"/>
  <c r="F12" i="15" s="1"/>
  <c r="AB100" i="19"/>
  <c r="AB107" i="19" s="1"/>
  <c r="AB117" i="19" s="1"/>
  <c r="E13" i="15"/>
  <c r="F13" i="15" s="1"/>
  <c r="E22" i="15"/>
  <c r="F22" i="15" s="1"/>
  <c r="G9" i="15"/>
  <c r="H9" i="15" s="1"/>
  <c r="AA102" i="19"/>
  <c r="AA112" i="19" s="1"/>
  <c r="AA101" i="19"/>
  <c r="AA111" i="19" s="1"/>
  <c r="AA103" i="19"/>
  <c r="AA113" i="19" s="1"/>
  <c r="AA105" i="19"/>
  <c r="AA115" i="19" s="1"/>
  <c r="AA104" i="19"/>
  <c r="AA114" i="19" s="1"/>
  <c r="G12" i="15"/>
  <c r="H12" i="15" s="1"/>
  <c r="E15" i="15"/>
  <c r="F15" i="15" s="1"/>
  <c r="G4" i="15"/>
  <c r="H4" i="15" s="1"/>
  <c r="AA100" i="19"/>
  <c r="AB101" i="19"/>
  <c r="AB111" i="19" s="1"/>
  <c r="E7" i="15"/>
  <c r="F7" i="15" s="1"/>
  <c r="E6" i="15"/>
  <c r="F6" i="15" s="1"/>
  <c r="AB102" i="19"/>
  <c r="AB112" i="19" s="1"/>
  <c r="AB103" i="19"/>
  <c r="AB113" i="19" s="1"/>
  <c r="E18" i="15"/>
  <c r="F18" i="15" s="1"/>
  <c r="E8" i="15"/>
  <c r="F8" i="15" s="1"/>
  <c r="E14" i="15"/>
  <c r="F14" i="15" s="1"/>
  <c r="E11" i="15"/>
  <c r="F11" i="15" s="1"/>
  <c r="E21" i="15"/>
  <c r="F21" i="15" s="1"/>
  <c r="E5" i="15"/>
  <c r="F5" i="15" s="1"/>
  <c r="E16" i="15"/>
  <c r="F16" i="15" s="1"/>
  <c r="E10" i="15"/>
  <c r="F10" i="15" s="1"/>
  <c r="E17" i="15"/>
  <c r="F17" i="15" s="1"/>
  <c r="G5" i="15"/>
  <c r="H5" i="15" s="1"/>
  <c r="G8" i="15"/>
  <c r="H8" i="15" s="1"/>
  <c r="M12" i="15"/>
  <c r="N12" i="15" s="1"/>
  <c r="M11" i="15"/>
  <c r="N11" i="15" s="1"/>
  <c r="M7" i="15"/>
  <c r="N7" i="15" s="1"/>
  <c r="M6" i="15"/>
  <c r="N6" i="15" s="1"/>
  <c r="AF101" i="19"/>
  <c r="AF111" i="19" s="1"/>
  <c r="AF104" i="19"/>
  <c r="AF114" i="19" s="1"/>
  <c r="O6" i="15"/>
  <c r="P6" i="15" s="1"/>
  <c r="O12" i="15"/>
  <c r="P12" i="15" s="1"/>
  <c r="O8" i="15"/>
  <c r="P8" i="15" s="1"/>
  <c r="AF103" i="19"/>
  <c r="AF113" i="19" s="1"/>
  <c r="AF102" i="19"/>
  <c r="AF112" i="19" s="1"/>
  <c r="O11" i="15"/>
  <c r="P11" i="15" s="1"/>
  <c r="O7" i="15"/>
  <c r="P7" i="15" s="1"/>
  <c r="M15" i="15"/>
  <c r="N15" i="15" s="1"/>
  <c r="M8" i="15"/>
  <c r="N8" i="15" s="1"/>
  <c r="M14" i="15"/>
  <c r="N14" i="15" s="1"/>
  <c r="O5" i="15"/>
  <c r="P5" i="15" s="1"/>
  <c r="O10" i="15"/>
  <c r="P10" i="15" s="1"/>
  <c r="M10" i="15"/>
  <c r="N10" i="15" s="1"/>
  <c r="M4" i="15"/>
  <c r="N4" i="15" s="1"/>
  <c r="W12" i="15"/>
  <c r="X12" i="15" s="1"/>
  <c r="AJ105" i="19"/>
  <c r="AJ115" i="19" s="1"/>
  <c r="W14" i="15"/>
  <c r="X14" i="15" s="1"/>
  <c r="AJ103" i="19"/>
  <c r="AJ113" i="19" s="1"/>
  <c r="G27" i="7"/>
  <c r="G27" i="8" s="1"/>
  <c r="K27" i="8" s="1"/>
  <c r="Q26" i="13" s="1"/>
  <c r="AL92" i="19"/>
  <c r="AL35" i="19"/>
  <c r="AK8" i="19"/>
  <c r="G56" i="6"/>
  <c r="K56" i="6" s="1"/>
  <c r="AK30" i="19"/>
  <c r="AP14" i="13"/>
  <c r="AP49" i="19"/>
  <c r="AP29" i="13"/>
  <c r="K91" i="8"/>
  <c r="Q90" i="13" s="1"/>
  <c r="K43" i="4"/>
  <c r="AG42" i="13" s="1"/>
  <c r="AK66" i="13"/>
  <c r="AP71" i="19"/>
  <c r="G9" i="7"/>
  <c r="G9" i="8" s="1"/>
  <c r="K27" i="5"/>
  <c r="AC26" i="13" s="1"/>
  <c r="AL10" i="19"/>
  <c r="AO27" i="13"/>
  <c r="J93" i="4"/>
  <c r="AH92" i="19" s="1"/>
  <c r="AK57" i="19"/>
  <c r="AG63" i="13"/>
  <c r="AP64" i="19"/>
  <c r="AO30" i="13"/>
  <c r="AK61" i="19"/>
  <c r="AL18" i="19"/>
  <c r="J80" i="3"/>
  <c r="AL79" i="13" s="1"/>
  <c r="AL55" i="13"/>
  <c r="AK22" i="13"/>
  <c r="AK27" i="13"/>
  <c r="AK27" i="19"/>
  <c r="J22" i="3"/>
  <c r="AL21" i="19" s="1"/>
  <c r="AP15" i="19"/>
  <c r="AO86" i="13"/>
  <c r="AP75" i="19"/>
  <c r="AP68" i="13"/>
  <c r="AL27" i="13"/>
  <c r="AK86" i="19"/>
  <c r="K89" i="6"/>
  <c r="Y88" i="13" s="1"/>
  <c r="AP11" i="19"/>
  <c r="AP87" i="19"/>
  <c r="AP67" i="13"/>
  <c r="AK63" i="13"/>
  <c r="AT104" i="19"/>
  <c r="AT114" i="19" s="1"/>
  <c r="AT105" i="19"/>
  <c r="AT115" i="19" s="1"/>
  <c r="AQ4" i="15"/>
  <c r="AR4" i="15" s="1"/>
  <c r="J13" i="4"/>
  <c r="AH12" i="19" s="1"/>
  <c r="AL86" i="13"/>
  <c r="AO9" i="15"/>
  <c r="AP9" i="15" s="1"/>
  <c r="AS115" i="19"/>
  <c r="AO21" i="19"/>
  <c r="AO16" i="13"/>
  <c r="AP61" i="19"/>
  <c r="AP83" i="19"/>
  <c r="J9" i="4"/>
  <c r="AH8" i="19" s="1"/>
  <c r="J33" i="5"/>
  <c r="AD32" i="13" s="1"/>
  <c r="K57" i="4"/>
  <c r="AG56" i="19" s="1"/>
  <c r="AQ8" i="15"/>
  <c r="AR8" i="15" s="1"/>
  <c r="AT102" i="19"/>
  <c r="AT112" i="19" s="1"/>
  <c r="AH42" i="19"/>
  <c r="AH42" i="13"/>
  <c r="K9" i="5"/>
  <c r="AC8" i="19" s="1"/>
  <c r="G14" i="5"/>
  <c r="K14" i="4"/>
  <c r="AK55" i="19"/>
  <c r="AK55" i="13"/>
  <c r="AH10" i="13"/>
  <c r="J28" i="5"/>
  <c r="AD27" i="13" s="1"/>
  <c r="AP27" i="19"/>
  <c r="AK10" i="19"/>
  <c r="AK10" i="13"/>
  <c r="AP21" i="13"/>
  <c r="AP37" i="19"/>
  <c r="AO50" i="13"/>
  <c r="AP44" i="13"/>
  <c r="AO71" i="13"/>
  <c r="G10" i="8"/>
  <c r="G10" i="9" s="1"/>
  <c r="G43" i="5"/>
  <c r="J43" i="5" s="1"/>
  <c r="AD42" i="13" s="1"/>
  <c r="AQ7" i="15"/>
  <c r="AR7" i="15" s="1"/>
  <c r="AO4" i="15"/>
  <c r="AP4" i="15" s="1"/>
  <c r="AO8" i="15"/>
  <c r="AP8" i="15" s="1"/>
  <c r="G60" i="4"/>
  <c r="K60" i="3"/>
  <c r="AK59" i="13" s="1"/>
  <c r="J60" i="3"/>
  <c r="AL59" i="13" s="1"/>
  <c r="AO49" i="13"/>
  <c r="AO49" i="19"/>
  <c r="AL8" i="13"/>
  <c r="AK36" i="19"/>
  <c r="AK36" i="13"/>
  <c r="AP55" i="19"/>
  <c r="AP55" i="13"/>
  <c r="H91" i="4"/>
  <c r="J91" i="3"/>
  <c r="AL90" i="13" s="1"/>
  <c r="AO83" i="19"/>
  <c r="AP73" i="19"/>
  <c r="AP17" i="13"/>
  <c r="G79" i="6"/>
  <c r="K79" i="6" s="1"/>
  <c r="Y78" i="13" s="1"/>
  <c r="AK18" i="13"/>
  <c r="K64" i="5"/>
  <c r="AT101" i="19"/>
  <c r="AT111" i="19" s="1"/>
  <c r="AO7" i="15"/>
  <c r="AP7" i="15" s="1"/>
  <c r="AO11" i="15"/>
  <c r="AP11" i="15" s="1"/>
  <c r="K50" i="3"/>
  <c r="G50" i="4"/>
  <c r="J50" i="3"/>
  <c r="AG8" i="13"/>
  <c r="AG8" i="19"/>
  <c r="AK70" i="19"/>
  <c r="AP30" i="19"/>
  <c r="AP30" i="13"/>
  <c r="AP43" i="19"/>
  <c r="AO13" i="19"/>
  <c r="AO64" i="19"/>
  <c r="AL72" i="19"/>
  <c r="AK56" i="13"/>
  <c r="AO53" i="13"/>
  <c r="AO11" i="19"/>
  <c r="J35" i="3"/>
  <c r="AL34" i="13" s="1"/>
  <c r="J71" i="5"/>
  <c r="AD70" i="13" s="1"/>
  <c r="AT103" i="19"/>
  <c r="AT113" i="19" s="1"/>
  <c r="AQ5" i="15"/>
  <c r="AR5" i="15" s="1"/>
  <c r="AQ6" i="15"/>
  <c r="AR6" i="15" s="1"/>
  <c r="AO6" i="15"/>
  <c r="AP6" i="15" s="1"/>
  <c r="AO10" i="15"/>
  <c r="AP10" i="15" s="1"/>
  <c r="AP31" i="13"/>
  <c r="AP31" i="19"/>
  <c r="AK42" i="13"/>
  <c r="AK42" i="19"/>
  <c r="AP36" i="19"/>
  <c r="AP36" i="13"/>
  <c r="AO36" i="13"/>
  <c r="AO36" i="19"/>
  <c r="G32" i="4"/>
  <c r="J32" i="3"/>
  <c r="K32" i="3"/>
  <c r="AP62" i="13"/>
  <c r="AP48" i="13"/>
  <c r="AP38" i="19"/>
  <c r="AO91" i="19"/>
  <c r="AO31" i="19"/>
  <c r="H35" i="4"/>
  <c r="H35" i="5" s="1"/>
  <c r="AK81" i="19"/>
  <c r="G57" i="5"/>
  <c r="J57" i="5" s="1"/>
  <c r="AC88" i="19"/>
  <c r="J73" i="4"/>
  <c r="AT100" i="19"/>
  <c r="AT106" i="19" s="1"/>
  <c r="AT116" i="19" s="1"/>
  <c r="AO5" i="15"/>
  <c r="AP5" i="15" s="1"/>
  <c r="AP84" i="19"/>
  <c r="AP84" i="13"/>
  <c r="AK9" i="13"/>
  <c r="J79" i="3"/>
  <c r="AL78" i="13" s="1"/>
  <c r="H79" i="4"/>
  <c r="AO37" i="19"/>
  <c r="AO37" i="13"/>
  <c r="AP41" i="13"/>
  <c r="AP41" i="19"/>
  <c r="AP40" i="19"/>
  <c r="AP40" i="13"/>
  <c r="AO84" i="19"/>
  <c r="AO84" i="13"/>
  <c r="AK92" i="19"/>
  <c r="AK92" i="13"/>
  <c r="AG81" i="19"/>
  <c r="AG81" i="13"/>
  <c r="G46" i="4"/>
  <c r="K46" i="3"/>
  <c r="J46" i="3"/>
  <c r="K87" i="4"/>
  <c r="G87" i="5"/>
  <c r="J87" i="5" s="1"/>
  <c r="AG22" i="19"/>
  <c r="AG22" i="13"/>
  <c r="AO58" i="13"/>
  <c r="AO58" i="19"/>
  <c r="G84" i="4"/>
  <c r="K84" i="3"/>
  <c r="J84" i="3"/>
  <c r="AP39" i="19"/>
  <c r="AP23" i="13"/>
  <c r="AO74" i="19"/>
  <c r="AO47" i="19"/>
  <c r="AO39" i="19"/>
  <c r="G91" i="10"/>
  <c r="G91" i="11" s="1"/>
  <c r="J56" i="5"/>
  <c r="AD55" i="19" s="1"/>
  <c r="J82" i="4"/>
  <c r="AH81" i="13" s="1"/>
  <c r="AC55" i="13"/>
  <c r="K10" i="6"/>
  <c r="Y9" i="13" s="1"/>
  <c r="K15" i="3"/>
  <c r="G15" i="4"/>
  <c r="J15" i="3"/>
  <c r="G30" i="4"/>
  <c r="J30" i="3"/>
  <c r="K30" i="3"/>
  <c r="G40" i="4"/>
  <c r="K40" i="3"/>
  <c r="J40" i="3"/>
  <c r="G48" i="4"/>
  <c r="K48" i="3"/>
  <c r="J48" i="3"/>
  <c r="J70" i="3"/>
  <c r="G70" i="4"/>
  <c r="K70" i="3"/>
  <c r="K74" i="3"/>
  <c r="G74" i="4"/>
  <c r="J81" i="3"/>
  <c r="G81" i="4"/>
  <c r="K81" i="3"/>
  <c r="G12" i="4"/>
  <c r="J12" i="3"/>
  <c r="K12" i="3"/>
  <c r="G25" i="4"/>
  <c r="K25" i="3"/>
  <c r="AK24" i="13" s="1"/>
  <c r="J25" i="3"/>
  <c r="AL24" i="13" s="1"/>
  <c r="G49" i="4"/>
  <c r="K49" i="3"/>
  <c r="J49" i="3"/>
  <c r="G69" i="4"/>
  <c r="K69" i="3"/>
  <c r="G80" i="4"/>
  <c r="K80" i="3"/>
  <c r="J28" i="4"/>
  <c r="G21" i="4"/>
  <c r="K21" i="3"/>
  <c r="AK20" i="13" s="1"/>
  <c r="G45" i="4"/>
  <c r="K45" i="3"/>
  <c r="J45" i="3"/>
  <c r="G83" i="4"/>
  <c r="J83" i="4" s="1"/>
  <c r="AH82" i="13" s="1"/>
  <c r="K83" i="3"/>
  <c r="AK82" i="13" s="1"/>
  <c r="G44" i="4"/>
  <c r="K44" i="3"/>
  <c r="J44" i="3"/>
  <c r="G35" i="4"/>
  <c r="K35" i="3"/>
  <c r="AK34" i="13" s="1"/>
  <c r="G65" i="4"/>
  <c r="K65" i="3"/>
  <c r="AP85" i="13"/>
  <c r="AP85" i="19"/>
  <c r="AP45" i="13"/>
  <c r="AP45" i="19"/>
  <c r="G92" i="4"/>
  <c r="K92" i="3"/>
  <c r="AL42" i="13"/>
  <c r="AL42" i="19"/>
  <c r="K23" i="5"/>
  <c r="G23" i="6"/>
  <c r="G59" i="4"/>
  <c r="K59" i="3"/>
  <c r="J59" i="3"/>
  <c r="AO14" i="19"/>
  <c r="AO14" i="13"/>
  <c r="AO29" i="13"/>
  <c r="AO29" i="19"/>
  <c r="AO80" i="13"/>
  <c r="AO80" i="19"/>
  <c r="AO68" i="19"/>
  <c r="AO68" i="13"/>
  <c r="AO79" i="13"/>
  <c r="AO79" i="19"/>
  <c r="AL73" i="13"/>
  <c r="AL73" i="19"/>
  <c r="AL64" i="13"/>
  <c r="AL64" i="19"/>
  <c r="AO44" i="13"/>
  <c r="AO44" i="19"/>
  <c r="K64" i="6"/>
  <c r="G64" i="7"/>
  <c r="AO43" i="19"/>
  <c r="AO43" i="13"/>
  <c r="G86" i="4"/>
  <c r="K86" i="3"/>
  <c r="J86" i="3"/>
  <c r="G17" i="4"/>
  <c r="J17" i="3"/>
  <c r="K17" i="3"/>
  <c r="AP54" i="19"/>
  <c r="AP54" i="13"/>
  <c r="AP58" i="19"/>
  <c r="AP58" i="13"/>
  <c r="AP86" i="19"/>
  <c r="AO15" i="13"/>
  <c r="AP69" i="19"/>
  <c r="J71" i="4"/>
  <c r="AH70" i="19" s="1"/>
  <c r="J62" i="4"/>
  <c r="J33" i="4"/>
  <c r="AH32" i="13" s="1"/>
  <c r="J87" i="4"/>
  <c r="AH86" i="19" s="1"/>
  <c r="J31" i="4"/>
  <c r="AH30" i="13" s="1"/>
  <c r="G82" i="5"/>
  <c r="G24" i="4"/>
  <c r="J24" i="3"/>
  <c r="K24" i="3"/>
  <c r="G38" i="4"/>
  <c r="K38" i="3"/>
  <c r="J38" i="3"/>
  <c r="G42" i="4"/>
  <c r="K42" i="3"/>
  <c r="J42" i="3"/>
  <c r="K68" i="3"/>
  <c r="G68" i="4"/>
  <c r="J68" i="3"/>
  <c r="J72" i="3"/>
  <c r="G72" i="4"/>
  <c r="K72" i="3"/>
  <c r="G76" i="4"/>
  <c r="K76" i="3"/>
  <c r="G6" i="4"/>
  <c r="K6" i="3"/>
  <c r="AK5" i="13" s="1"/>
  <c r="G16" i="4"/>
  <c r="J16" i="4" s="1"/>
  <c r="K16" i="3"/>
  <c r="G41" i="4"/>
  <c r="K41" i="3"/>
  <c r="J41" i="3"/>
  <c r="G63" i="4"/>
  <c r="J63" i="4" s="1"/>
  <c r="AH62" i="13" s="1"/>
  <c r="K63" i="3"/>
  <c r="K75" i="3"/>
  <c r="J75" i="3"/>
  <c r="G75" i="4"/>
  <c r="G88" i="4"/>
  <c r="K88" i="3"/>
  <c r="G22" i="4"/>
  <c r="K22" i="3"/>
  <c r="G85" i="4"/>
  <c r="K85" i="3"/>
  <c r="J85" i="3"/>
  <c r="G96" i="4"/>
  <c r="K96" i="3"/>
  <c r="AK95" i="13" s="1"/>
  <c r="G18" i="4"/>
  <c r="J18" i="3"/>
  <c r="K18" i="3"/>
  <c r="G54" i="4"/>
  <c r="K54" i="3"/>
  <c r="J54" i="3"/>
  <c r="J67" i="4"/>
  <c r="AP79" i="13"/>
  <c r="AP79" i="19"/>
  <c r="G94" i="4"/>
  <c r="K94" i="3"/>
  <c r="AK93" i="13" s="1"/>
  <c r="J94" i="3"/>
  <c r="AL93" i="13" s="1"/>
  <c r="G51" i="4"/>
  <c r="K51" i="3"/>
  <c r="J51" i="3"/>
  <c r="G8" i="4"/>
  <c r="J8" i="3"/>
  <c r="AL7" i="13" s="1"/>
  <c r="K8" i="3"/>
  <c r="AK7" i="13" s="1"/>
  <c r="AL66" i="13"/>
  <c r="AL66" i="19"/>
  <c r="AO45" i="19"/>
  <c r="AO45" i="13"/>
  <c r="AS100" i="19"/>
  <c r="G55" i="4"/>
  <c r="K55" i="3"/>
  <c r="J55" i="3"/>
  <c r="U29" i="15"/>
  <c r="V29" i="15" s="1"/>
  <c r="U23" i="15"/>
  <c r="V23" i="15" s="1"/>
  <c r="U10" i="15"/>
  <c r="V10" i="15" s="1"/>
  <c r="U19" i="15"/>
  <c r="V19" i="15" s="1"/>
  <c r="U6" i="15"/>
  <c r="V6" i="15" s="1"/>
  <c r="U25" i="15"/>
  <c r="V25" i="15" s="1"/>
  <c r="W5" i="15"/>
  <c r="X5" i="15" s="1"/>
  <c r="U12" i="15"/>
  <c r="V12" i="15" s="1"/>
  <c r="AC9" i="19"/>
  <c r="AC9" i="13"/>
  <c r="U28" i="15"/>
  <c r="V28" i="15" s="1"/>
  <c r="AG38" i="19"/>
  <c r="AJ104" i="19"/>
  <c r="AJ114" i="19" s="1"/>
  <c r="AJ100" i="19"/>
  <c r="G77" i="6"/>
  <c r="K77" i="6" s="1"/>
  <c r="Y76" i="13" s="1"/>
  <c r="AI101" i="19"/>
  <c r="AI111" i="19" s="1"/>
  <c r="AI104" i="19"/>
  <c r="AI114" i="19" s="1"/>
  <c r="AI102" i="19"/>
  <c r="AI112" i="19" s="1"/>
  <c r="AI100" i="19"/>
  <c r="AI103" i="19"/>
  <c r="AI113" i="19" s="1"/>
  <c r="AI105" i="19"/>
  <c r="AI115" i="19" s="1"/>
  <c r="U8" i="15"/>
  <c r="V8" i="15" s="1"/>
  <c r="U27" i="15"/>
  <c r="V27" i="15" s="1"/>
  <c r="U14" i="15"/>
  <c r="V14" i="15" s="1"/>
  <c r="U4" i="15"/>
  <c r="V4" i="15" s="1"/>
  <c r="W11" i="15"/>
  <c r="X11" i="15" s="1"/>
  <c r="U13" i="15"/>
  <c r="V13" i="15" s="1"/>
  <c r="W9" i="15"/>
  <c r="X9" i="15" s="1"/>
  <c r="U21" i="15"/>
  <c r="V21" i="15" s="1"/>
  <c r="W13" i="15"/>
  <c r="X13" i="15" s="1"/>
  <c r="W8" i="15"/>
  <c r="X8" i="15" s="1"/>
  <c r="U22" i="15"/>
  <c r="V22" i="15" s="1"/>
  <c r="U20" i="15"/>
  <c r="V20" i="15" s="1"/>
  <c r="U16" i="15"/>
  <c r="V16" i="15" s="1"/>
  <c r="U18" i="15"/>
  <c r="V18" i="15" s="1"/>
  <c r="U9" i="15"/>
  <c r="V9" i="15" s="1"/>
  <c r="U24" i="15"/>
  <c r="V24" i="15" s="1"/>
  <c r="U5" i="15"/>
  <c r="V5" i="15" s="1"/>
  <c r="U7" i="15"/>
  <c r="V7" i="15" s="1"/>
  <c r="W7" i="15"/>
  <c r="X7" i="15" s="1"/>
  <c r="W6" i="15"/>
  <c r="X6" i="15" s="1"/>
  <c r="U30" i="15"/>
  <c r="V30" i="15" s="1"/>
  <c r="U15" i="15"/>
  <c r="V15" i="15" s="1"/>
  <c r="AJ102" i="19"/>
  <c r="AJ112" i="19" s="1"/>
  <c r="U11" i="15"/>
  <c r="V11" i="15" s="1"/>
  <c r="U26" i="15"/>
  <c r="V26" i="15" s="1"/>
  <c r="U17" i="15"/>
  <c r="V17" i="15" s="1"/>
  <c r="W10" i="15"/>
  <c r="X10" i="15" s="1"/>
  <c r="U31" i="15"/>
  <c r="V31" i="15" s="1"/>
  <c r="W4" i="15"/>
  <c r="X4" i="15" s="1"/>
  <c r="AJ101" i="19"/>
  <c r="AJ111" i="19" s="1"/>
  <c r="K53" i="5"/>
  <c r="AC52" i="13" s="1"/>
  <c r="J53" i="5"/>
  <c r="AD52" i="13" s="1"/>
  <c r="G53" i="6"/>
  <c r="G71" i="6"/>
  <c r="K71" i="6" s="1"/>
  <c r="Y70" i="19" s="1"/>
  <c r="AG88" i="19"/>
  <c r="AG88" i="13"/>
  <c r="J31" i="5"/>
  <c r="K31" i="5"/>
  <c r="G31" i="6"/>
  <c r="K71" i="5"/>
  <c r="AC70" i="13" s="1"/>
  <c r="AG55" i="19"/>
  <c r="K5" i="6"/>
  <c r="Y4" i="13" s="1"/>
  <c r="AM102" i="19"/>
  <c r="AM112" i="19" s="1"/>
  <c r="AM104" i="19"/>
  <c r="AM114" i="19" s="1"/>
  <c r="AC14" i="15"/>
  <c r="AD14" i="15" s="1"/>
  <c r="AN101" i="19"/>
  <c r="AN111" i="19" s="1"/>
  <c r="H6" i="3"/>
  <c r="E6" i="3"/>
  <c r="AN5" i="13" s="1"/>
  <c r="AL9" i="13"/>
  <c r="H14" i="5"/>
  <c r="J14" i="4"/>
  <c r="AG57" i="19"/>
  <c r="AG57" i="13"/>
  <c r="H23" i="6"/>
  <c r="J23" i="5"/>
  <c r="AH92" i="13"/>
  <c r="H83" i="5"/>
  <c r="H83" i="6" s="1"/>
  <c r="H83" i="7" s="1"/>
  <c r="H83" i="8" s="1"/>
  <c r="H83" i="9" s="1"/>
  <c r="H83" i="10" s="1"/>
  <c r="H83" i="11" s="1"/>
  <c r="H83" i="12" s="1"/>
  <c r="H63" i="5"/>
  <c r="H63" i="6" s="1"/>
  <c r="H63" i="7" s="1"/>
  <c r="H63" i="8" s="1"/>
  <c r="H63" i="9" s="1"/>
  <c r="H63" i="10" s="1"/>
  <c r="H63" i="11" s="1"/>
  <c r="H63" i="12" s="1"/>
  <c r="AN100" i="19"/>
  <c r="AN106" i="19" s="1"/>
  <c r="AN116" i="19" s="1"/>
  <c r="AN104" i="19"/>
  <c r="AN114" i="19" s="1"/>
  <c r="AN103" i="19"/>
  <c r="AN113" i="19" s="1"/>
  <c r="AC12" i="15"/>
  <c r="AD12" i="15" s="1"/>
  <c r="AN102" i="19"/>
  <c r="AN112" i="19" s="1"/>
  <c r="AL91" i="13"/>
  <c r="AL91" i="19"/>
  <c r="G28" i="6"/>
  <c r="K28" i="5"/>
  <c r="AH55" i="13"/>
  <c r="AH55" i="19"/>
  <c r="H69" i="5"/>
  <c r="H69" i="6" s="1"/>
  <c r="H69" i="7" s="1"/>
  <c r="H69" i="8" s="1"/>
  <c r="H69" i="9" s="1"/>
  <c r="H69" i="10" s="1"/>
  <c r="H69" i="11" s="1"/>
  <c r="H69" i="12" s="1"/>
  <c r="AL81" i="19"/>
  <c r="AL81" i="13"/>
  <c r="AL63" i="19"/>
  <c r="AL15" i="13"/>
  <c r="AL15" i="19"/>
  <c r="G5" i="8"/>
  <c r="K5" i="7"/>
  <c r="U4" i="13" s="1"/>
  <c r="AL36" i="13"/>
  <c r="AL36" i="19"/>
  <c r="G58" i="6"/>
  <c r="K58" i="5"/>
  <c r="J58" i="5"/>
  <c r="AL22" i="19"/>
  <c r="AL22" i="13"/>
  <c r="H27" i="4"/>
  <c r="J27" i="3"/>
  <c r="AL26" i="13" s="1"/>
  <c r="H18" i="6"/>
  <c r="H18" i="7" s="1"/>
  <c r="H18" i="8" s="1"/>
  <c r="H18" i="9" s="1"/>
  <c r="H18" i="10" s="1"/>
  <c r="H18" i="11" s="1"/>
  <c r="H18" i="12" s="1"/>
  <c r="AM105" i="19"/>
  <c r="AM115" i="19" s="1"/>
  <c r="AG27" i="19"/>
  <c r="AG27" i="13"/>
  <c r="H89" i="6"/>
  <c r="J89" i="5"/>
  <c r="AL62" i="13"/>
  <c r="AL62" i="19"/>
  <c r="H64" i="5"/>
  <c r="J64" i="4"/>
  <c r="H16" i="5"/>
  <c r="H37" i="5"/>
  <c r="H37" i="6" s="1"/>
  <c r="H37" i="7" s="1"/>
  <c r="H37" i="8" s="1"/>
  <c r="H37" i="9" s="1"/>
  <c r="H37" i="10" s="1"/>
  <c r="H37" i="11" s="1"/>
  <c r="H37" i="12" s="1"/>
  <c r="J37" i="4"/>
  <c r="AH57" i="19"/>
  <c r="AH22" i="19"/>
  <c r="AH22" i="13"/>
  <c r="AH56" i="13"/>
  <c r="AL68" i="13"/>
  <c r="AL68" i="19"/>
  <c r="G33" i="6"/>
  <c r="K33" i="5"/>
  <c r="AC32" i="13" s="1"/>
  <c r="H21" i="4"/>
  <c r="J21" i="3"/>
  <c r="AL20" i="13" s="1"/>
  <c r="H10" i="5"/>
  <c r="J10" i="4"/>
  <c r="H86" i="6"/>
  <c r="AL13" i="19"/>
  <c r="AL13" i="13"/>
  <c r="H77" i="4"/>
  <c r="J77" i="3"/>
  <c r="AL76" i="13" s="1"/>
  <c r="H87" i="6"/>
  <c r="H87" i="7" s="1"/>
  <c r="H87" i="8" s="1"/>
  <c r="H87" i="9" s="1"/>
  <c r="H87" i="10" s="1"/>
  <c r="H87" i="11" s="1"/>
  <c r="H87" i="12" s="1"/>
  <c r="K67" i="5"/>
  <c r="G67" i="6"/>
  <c r="J67" i="5"/>
  <c r="H24" i="8"/>
  <c r="H12" i="6"/>
  <c r="H12" i="7" s="1"/>
  <c r="H12" i="8" s="1"/>
  <c r="H12" i="9" s="1"/>
  <c r="H12" i="10" s="1"/>
  <c r="H12" i="11" s="1"/>
  <c r="H12" i="12" s="1"/>
  <c r="G11" i="6"/>
  <c r="K11" i="5"/>
  <c r="J11" i="5"/>
  <c r="G37" i="6"/>
  <c r="K37" i="5"/>
  <c r="K73" i="5"/>
  <c r="AG46" i="13"/>
  <c r="AG66" i="19"/>
  <c r="AG66" i="13"/>
  <c r="H9" i="6"/>
  <c r="J9" i="5"/>
  <c r="H45" i="9"/>
  <c r="K13" i="5"/>
  <c r="J13" i="5"/>
  <c r="G13" i="6"/>
  <c r="J47" i="5"/>
  <c r="G47" i="6"/>
  <c r="K47" i="5"/>
  <c r="H70" i="6"/>
  <c r="H70" i="7" s="1"/>
  <c r="H70" i="8" s="1"/>
  <c r="H70" i="9" s="1"/>
  <c r="H70" i="10" s="1"/>
  <c r="H70" i="11" s="1"/>
  <c r="H70" i="12" s="1"/>
  <c r="AM103" i="19"/>
  <c r="AM113" i="19" s="1"/>
  <c r="AN105" i="19"/>
  <c r="AN115" i="19" s="1"/>
  <c r="AH46" i="13"/>
  <c r="K89" i="7"/>
  <c r="G89" i="8"/>
  <c r="AC15" i="15"/>
  <c r="AD15" i="15" s="1"/>
  <c r="AG10" i="13"/>
  <c r="AG10" i="19"/>
  <c r="AG36" i="19"/>
  <c r="AG36" i="13"/>
  <c r="AG72" i="19"/>
  <c r="AG72" i="13"/>
  <c r="Y8" i="13"/>
  <c r="Y8" i="19"/>
  <c r="AG92" i="19"/>
  <c r="AG92" i="13"/>
  <c r="H82" i="6"/>
  <c r="AC6" i="15"/>
  <c r="AD6" i="15" s="1"/>
  <c r="AC13" i="15"/>
  <c r="AD13" i="15" s="1"/>
  <c r="AC7" i="15"/>
  <c r="AD7" i="15" s="1"/>
  <c r="AC5" i="15"/>
  <c r="AD5" i="15" s="1"/>
  <c r="AC11" i="15"/>
  <c r="AD11" i="15" s="1"/>
  <c r="AC10" i="15"/>
  <c r="AD10" i="15" s="1"/>
  <c r="AC9" i="15"/>
  <c r="AD9" i="15" s="1"/>
  <c r="AC8" i="15"/>
  <c r="AD8" i="15" s="1"/>
  <c r="AC4" i="15"/>
  <c r="AD4" i="15" s="1"/>
  <c r="AC18" i="15"/>
  <c r="AD18" i="15" s="1"/>
  <c r="AC17" i="15"/>
  <c r="AD17" i="15" s="1"/>
  <c r="AC16" i="15"/>
  <c r="AD16" i="15" s="1"/>
  <c r="AO69" i="13"/>
  <c r="AO69" i="19"/>
  <c r="AR101" i="19"/>
  <c r="AR111" i="19" s="1"/>
  <c r="AO17" i="19"/>
  <c r="AO17" i="13"/>
  <c r="AP57" i="19"/>
  <c r="AO67" i="19"/>
  <c r="AO67" i="13"/>
  <c r="AP47" i="13"/>
  <c r="AP47" i="19"/>
  <c r="AP53" i="13"/>
  <c r="AP53" i="19"/>
  <c r="AP13" i="13"/>
  <c r="AP13" i="19"/>
  <c r="AO57" i="19"/>
  <c r="AO57" i="13"/>
  <c r="AK16" i="15"/>
  <c r="AL16" i="15" s="1"/>
  <c r="AO38" i="13"/>
  <c r="AO61" i="19"/>
  <c r="AO62" i="19"/>
  <c r="AO62" i="13"/>
  <c r="AO9" i="19"/>
  <c r="AO9" i="13"/>
  <c r="AP35" i="13"/>
  <c r="AP35" i="19"/>
  <c r="AR105" i="19"/>
  <c r="AR115" i="19" s="1"/>
  <c r="AM7" i="15"/>
  <c r="AN7" i="15" s="1"/>
  <c r="AO23" i="19"/>
  <c r="AO23" i="13"/>
  <c r="AP9" i="19"/>
  <c r="AP9" i="13"/>
  <c r="AO35" i="13"/>
  <c r="AO35" i="19"/>
  <c r="AO10" i="19"/>
  <c r="AO10" i="13"/>
  <c r="AO63" i="13"/>
  <c r="AO63" i="19"/>
  <c r="AO88" i="19"/>
  <c r="AO88" i="13"/>
  <c r="AP16" i="19"/>
  <c r="AP16" i="13"/>
  <c r="AO12" i="19"/>
  <c r="AO12" i="13"/>
  <c r="AO28" i="19"/>
  <c r="AO28" i="13"/>
  <c r="AO46" i="19"/>
  <c r="AO46" i="13"/>
  <c r="AO70" i="13"/>
  <c r="AO70" i="19"/>
  <c r="AK7" i="15"/>
  <c r="AL7" i="15" s="1"/>
  <c r="AP18" i="13"/>
  <c r="AP18" i="19"/>
  <c r="AP72" i="19"/>
  <c r="AP72" i="13"/>
  <c r="AM4" i="15"/>
  <c r="AN4" i="15" s="1"/>
  <c r="AK13" i="15"/>
  <c r="AL13" i="15" s="1"/>
  <c r="AK5" i="15"/>
  <c r="AL5" i="15" s="1"/>
  <c r="AK11" i="15"/>
  <c r="AL11" i="15" s="1"/>
  <c r="AQ103" i="19"/>
  <c r="AQ113" i="19" s="1"/>
  <c r="AQ101" i="19"/>
  <c r="AQ111" i="19" s="1"/>
  <c r="AQ100" i="19"/>
  <c r="AP74" i="19"/>
  <c r="AP74" i="13"/>
  <c r="AR103" i="19"/>
  <c r="AR113" i="19" s="1"/>
  <c r="AP8" i="19"/>
  <c r="AP8" i="13"/>
  <c r="AP22" i="19"/>
  <c r="AP22" i="13"/>
  <c r="AO42" i="19"/>
  <c r="AO42" i="13"/>
  <c r="AO56" i="19"/>
  <c r="AO56" i="13"/>
  <c r="AP66" i="13"/>
  <c r="AP66" i="19"/>
  <c r="AP81" i="13"/>
  <c r="AP81" i="19"/>
  <c r="AP92" i="13"/>
  <c r="AP92" i="19"/>
  <c r="AR104" i="19"/>
  <c r="AR114" i="19" s="1"/>
  <c r="AM8" i="15"/>
  <c r="AN8" i="15" s="1"/>
  <c r="AK15" i="15"/>
  <c r="AL15" i="15" s="1"/>
  <c r="AK9" i="15"/>
  <c r="AL9" i="15" s="1"/>
  <c r="AO18" i="13"/>
  <c r="AO18" i="19"/>
  <c r="AO72" i="19"/>
  <c r="AO72" i="13"/>
  <c r="AQ105" i="19"/>
  <c r="AQ115" i="19" s="1"/>
  <c r="AM6" i="15"/>
  <c r="AN6" i="15" s="1"/>
  <c r="AQ102" i="19"/>
  <c r="AQ112" i="19" s="1"/>
  <c r="AP50" i="13"/>
  <c r="AP50" i="19"/>
  <c r="AO8" i="19"/>
  <c r="AO8" i="13"/>
  <c r="AO22" i="19"/>
  <c r="AO22" i="13"/>
  <c r="AP42" i="13"/>
  <c r="AP42" i="19"/>
  <c r="AP56" i="19"/>
  <c r="AP56" i="13"/>
  <c r="AO66" i="13"/>
  <c r="AO66" i="19"/>
  <c r="AO81" i="13"/>
  <c r="AO81" i="19"/>
  <c r="AO92" i="13"/>
  <c r="AO92" i="19"/>
  <c r="AR102" i="19"/>
  <c r="AR112" i="19" s="1"/>
  <c r="AK12" i="15"/>
  <c r="AL12" i="15" s="1"/>
  <c r="AK10" i="15"/>
  <c r="AL10" i="15" s="1"/>
  <c r="AK6" i="15"/>
  <c r="AL6" i="15" s="1"/>
  <c r="AM5" i="15"/>
  <c r="AN5" i="15" s="1"/>
  <c r="AP10" i="13"/>
  <c r="AP10" i="19"/>
  <c r="AP63" i="13"/>
  <c r="AP63" i="19"/>
  <c r="AP88" i="13"/>
  <c r="AP88" i="19"/>
  <c r="AM9" i="15"/>
  <c r="AN9" i="15" s="1"/>
  <c r="AQ104" i="19"/>
  <c r="AQ114" i="19" s="1"/>
  <c r="AP12" i="19"/>
  <c r="AP12" i="13"/>
  <c r="AP28" i="19"/>
  <c r="AP28" i="13"/>
  <c r="AP46" i="13"/>
  <c r="AP46" i="19"/>
  <c r="AP70" i="19"/>
  <c r="AP70" i="13"/>
  <c r="AR100" i="19"/>
  <c r="AK4" i="15"/>
  <c r="AL4" i="15" s="1"/>
  <c r="AK8" i="15"/>
  <c r="AL8" i="15" s="1"/>
  <c r="AK14" i="15"/>
  <c r="AL14" i="15" s="1"/>
  <c r="P110" i="19" l="1"/>
  <c r="P120" i="19" s="1"/>
  <c r="J29" i="4"/>
  <c r="AH28" i="19" s="1"/>
  <c r="AD28" i="19"/>
  <c r="J73" i="5"/>
  <c r="AD72" i="13" s="1"/>
  <c r="K19" i="4"/>
  <c r="AG18" i="19" s="1"/>
  <c r="AL38" i="13"/>
  <c r="AL28" i="13"/>
  <c r="P109" i="19"/>
  <c r="P119" i="19" s="1"/>
  <c r="P107" i="19"/>
  <c r="P117" i="19" s="1"/>
  <c r="AH88" i="13"/>
  <c r="AK88" i="19"/>
  <c r="AL70" i="19"/>
  <c r="J19" i="4"/>
  <c r="AH18" i="19" s="1"/>
  <c r="O106" i="19"/>
  <c r="O116" i="19" s="1"/>
  <c r="X107" i="19"/>
  <c r="X117" i="19" s="1"/>
  <c r="X106" i="19"/>
  <c r="X116" i="19" s="1"/>
  <c r="AL12" i="13"/>
  <c r="AL46" i="19"/>
  <c r="G93" i="5"/>
  <c r="J93" i="5" s="1"/>
  <c r="AD92" i="19" s="1"/>
  <c r="K29" i="4"/>
  <c r="AG28" i="13" s="1"/>
  <c r="O110" i="19"/>
  <c r="O120" i="19" s="1"/>
  <c r="AK72" i="13"/>
  <c r="AG12" i="19"/>
  <c r="K29" i="5"/>
  <c r="AC28" i="19" s="1"/>
  <c r="G29" i="6"/>
  <c r="G29" i="7" s="1"/>
  <c r="AL75" i="13"/>
  <c r="AG70" i="19"/>
  <c r="G62" i="5"/>
  <c r="K62" i="5" s="1"/>
  <c r="AK35" i="19"/>
  <c r="G36" i="5"/>
  <c r="G36" i="6" s="1"/>
  <c r="J36" i="6" s="1"/>
  <c r="AL88" i="13"/>
  <c r="AL61" i="19"/>
  <c r="AL57" i="19"/>
  <c r="X108" i="19"/>
  <c r="X118" i="19" s="1"/>
  <c r="O108" i="19"/>
  <c r="O118" i="19" s="1"/>
  <c r="O107" i="19"/>
  <c r="O117" i="19" s="1"/>
  <c r="AH35" i="19"/>
  <c r="AK12" i="13"/>
  <c r="K36" i="4"/>
  <c r="AG35" i="19" s="1"/>
  <c r="U9" i="19"/>
  <c r="I16" i="20"/>
  <c r="AF107" i="19"/>
  <c r="AF117" i="19" s="1"/>
  <c r="AF109" i="19"/>
  <c r="AF119" i="19" s="1"/>
  <c r="AF110" i="19"/>
  <c r="AF120" i="19" s="1"/>
  <c r="AE110" i="19"/>
  <c r="AE120" i="19" s="1"/>
  <c r="K19" i="6"/>
  <c r="Y18" i="19" s="1"/>
  <c r="G19" i="7"/>
  <c r="G19" i="8" s="1"/>
  <c r="AE108" i="19"/>
  <c r="AE118" i="19" s="1"/>
  <c r="J19" i="5"/>
  <c r="AD18" i="13" s="1"/>
  <c r="K19" i="5"/>
  <c r="AE106" i="19"/>
  <c r="AE116" i="19" s="1"/>
  <c r="AF108" i="19"/>
  <c r="AF118" i="19" s="1"/>
  <c r="AE107" i="19"/>
  <c r="AE117" i="19" s="1"/>
  <c r="G39" i="5"/>
  <c r="J39" i="5" s="1"/>
  <c r="AD38" i="19" s="1"/>
  <c r="G56" i="7"/>
  <c r="K56" i="7" s="1"/>
  <c r="AS109" i="19"/>
  <c r="AS119" i="19" s="1"/>
  <c r="AS106" i="19"/>
  <c r="AS116" i="19" s="1"/>
  <c r="AS110" i="19"/>
  <c r="AS107" i="19"/>
  <c r="AS117" i="19" s="1"/>
  <c r="AS108" i="19"/>
  <c r="AS118" i="19" s="1"/>
  <c r="J39" i="4"/>
  <c r="AH38" i="13" s="1"/>
  <c r="AB110" i="19"/>
  <c r="AB120" i="19" s="1"/>
  <c r="T106" i="19"/>
  <c r="T116" i="19" s="1"/>
  <c r="J56" i="6"/>
  <c r="Z55" i="19" s="1"/>
  <c r="AG9" i="19"/>
  <c r="AL87" i="13"/>
  <c r="AM109" i="19"/>
  <c r="AM119" i="19" s="1"/>
  <c r="AK46" i="13"/>
  <c r="AL30" i="13"/>
  <c r="AL56" i="13"/>
  <c r="AB106" i="19"/>
  <c r="AB116" i="19" s="1"/>
  <c r="D106" i="19"/>
  <c r="D116" i="19" s="1"/>
  <c r="W106" i="19"/>
  <c r="W116" i="19" s="1"/>
  <c r="D107" i="19"/>
  <c r="D117" i="19" s="1"/>
  <c r="W108" i="19"/>
  <c r="W118" i="19" s="1"/>
  <c r="T110" i="19"/>
  <c r="T120" i="19" s="1"/>
  <c r="D110" i="19"/>
  <c r="D120" i="19" s="1"/>
  <c r="D108" i="19"/>
  <c r="D118" i="19" s="1"/>
  <c r="AM110" i="19"/>
  <c r="AM120" i="19" s="1"/>
  <c r="AM108" i="19"/>
  <c r="AM118" i="19" s="1"/>
  <c r="AM107" i="19"/>
  <c r="AM117" i="19" s="1"/>
  <c r="C108" i="19"/>
  <c r="C118" i="19" s="1"/>
  <c r="C110" i="19"/>
  <c r="C120" i="19" s="1"/>
  <c r="C106" i="19"/>
  <c r="C116" i="19" s="1"/>
  <c r="C107" i="19"/>
  <c r="C117" i="19" s="1"/>
  <c r="G110" i="19"/>
  <c r="G120" i="19" s="1"/>
  <c r="H110" i="19"/>
  <c r="H120" i="19" s="1"/>
  <c r="H109" i="19"/>
  <c r="H119" i="19" s="1"/>
  <c r="H107" i="19"/>
  <c r="H117" i="19" s="1"/>
  <c r="G106" i="19"/>
  <c r="G116" i="19" s="1"/>
  <c r="H108" i="19"/>
  <c r="H118" i="19" s="1"/>
  <c r="G108" i="19"/>
  <c r="G118" i="19" s="1"/>
  <c r="G107" i="19"/>
  <c r="G117" i="19" s="1"/>
  <c r="K106" i="19"/>
  <c r="K116" i="19" s="1"/>
  <c r="K107" i="19"/>
  <c r="K117" i="19" s="1"/>
  <c r="K110" i="19"/>
  <c r="K120" i="19" s="1"/>
  <c r="K109" i="19"/>
  <c r="K119" i="19" s="1"/>
  <c r="L106" i="19"/>
  <c r="L116" i="19" s="1"/>
  <c r="L109" i="19"/>
  <c r="L119" i="19" s="1"/>
  <c r="L107" i="19"/>
  <c r="L117" i="19" s="1"/>
  <c r="L108" i="19"/>
  <c r="L118" i="19" s="1"/>
  <c r="L110" i="19"/>
  <c r="L120" i="19" s="1"/>
  <c r="T109" i="19"/>
  <c r="T119" i="19" s="1"/>
  <c r="T107" i="19"/>
  <c r="T117" i="19" s="1"/>
  <c r="S109" i="19"/>
  <c r="S119" i="19" s="1"/>
  <c r="S107" i="19"/>
  <c r="S117" i="19" s="1"/>
  <c r="S106" i="19"/>
  <c r="S116" i="19" s="1"/>
  <c r="S108" i="19"/>
  <c r="S118" i="19" s="1"/>
  <c r="S110" i="19"/>
  <c r="S120" i="19" s="1"/>
  <c r="W107" i="19"/>
  <c r="W117" i="19" s="1"/>
  <c r="W109" i="19"/>
  <c r="W119" i="19" s="1"/>
  <c r="AB108" i="19"/>
  <c r="AB118" i="19" s="1"/>
  <c r="AB109" i="19"/>
  <c r="AB119" i="19" s="1"/>
  <c r="AA106" i="19"/>
  <c r="AA116" i="19" s="1"/>
  <c r="AA108" i="19"/>
  <c r="AA118" i="19" s="1"/>
  <c r="AA107" i="19"/>
  <c r="AA117" i="19" s="1"/>
  <c r="AA109" i="19"/>
  <c r="AA119" i="19" s="1"/>
  <c r="AA110" i="19"/>
  <c r="AA120" i="19" s="1"/>
  <c r="K9" i="7"/>
  <c r="U8" i="19" s="1"/>
  <c r="K27" i="7"/>
  <c r="U26" i="13" s="1"/>
  <c r="AG42" i="19"/>
  <c r="K43" i="5"/>
  <c r="AC42" i="13" s="1"/>
  <c r="Y70" i="13"/>
  <c r="Y88" i="19"/>
  <c r="AH8" i="13"/>
  <c r="AH28" i="13"/>
  <c r="AL79" i="19"/>
  <c r="AG56" i="13"/>
  <c r="AL21" i="13"/>
  <c r="AC8" i="13"/>
  <c r="K10" i="8"/>
  <c r="Q9" i="19" s="1"/>
  <c r="AD70" i="19"/>
  <c r="J35" i="4"/>
  <c r="AH34" i="13" s="1"/>
  <c r="G93" i="6"/>
  <c r="G93" i="7" s="1"/>
  <c r="G39" i="6"/>
  <c r="G77" i="7"/>
  <c r="K77" i="7" s="1"/>
  <c r="U76" i="13" s="1"/>
  <c r="K91" i="10"/>
  <c r="I90" i="13" s="1"/>
  <c r="AH12" i="13"/>
  <c r="AD55" i="13"/>
  <c r="AD27" i="19"/>
  <c r="AT110" i="19"/>
  <c r="AT120" i="19" s="1"/>
  <c r="AD38" i="13"/>
  <c r="AT107" i="19"/>
  <c r="AT117" i="19" s="1"/>
  <c r="AD42" i="19"/>
  <c r="AH81" i="19"/>
  <c r="G79" i="7"/>
  <c r="K79" i="7" s="1"/>
  <c r="U78" i="13" s="1"/>
  <c r="AT108" i="19"/>
  <c r="AT118" i="19" s="1"/>
  <c r="K57" i="5"/>
  <c r="AC56" i="19" s="1"/>
  <c r="G43" i="6"/>
  <c r="J43" i="6" s="1"/>
  <c r="AG13" i="13"/>
  <c r="AG13" i="19"/>
  <c r="AH70" i="13"/>
  <c r="AT109" i="19"/>
  <c r="AT119" i="19" s="1"/>
  <c r="G14" i="6"/>
  <c r="K14" i="5"/>
  <c r="G60" i="5"/>
  <c r="K60" i="4"/>
  <c r="AG59" i="13" s="1"/>
  <c r="J60" i="4"/>
  <c r="AH59" i="13" s="1"/>
  <c r="G57" i="6"/>
  <c r="J57" i="6" s="1"/>
  <c r="Y9" i="19"/>
  <c r="AH30" i="19"/>
  <c r="AK31" i="13"/>
  <c r="AK31" i="19"/>
  <c r="AL49" i="19"/>
  <c r="AL49" i="13"/>
  <c r="H91" i="5"/>
  <c r="J91" i="4"/>
  <c r="AH90" i="13" s="1"/>
  <c r="AH62" i="19"/>
  <c r="AH86" i="13"/>
  <c r="AH72" i="13"/>
  <c r="AH72" i="19"/>
  <c r="AL31" i="19"/>
  <c r="AL31" i="13"/>
  <c r="G50" i="5"/>
  <c r="J50" i="4"/>
  <c r="K50" i="4"/>
  <c r="G32" i="5"/>
  <c r="K32" i="4"/>
  <c r="J32" i="4"/>
  <c r="AK49" i="13"/>
  <c r="AK49" i="19"/>
  <c r="AC63" i="19"/>
  <c r="AC63" i="13"/>
  <c r="AL54" i="19"/>
  <c r="AL54" i="13"/>
  <c r="AK50" i="13"/>
  <c r="AK50" i="19"/>
  <c r="K94" i="4"/>
  <c r="AG93" i="13" s="1"/>
  <c r="G94" i="5"/>
  <c r="J94" i="4"/>
  <c r="AH93" i="13" s="1"/>
  <c r="AL53" i="19"/>
  <c r="AL53" i="13"/>
  <c r="AL17" i="13"/>
  <c r="AL17" i="19"/>
  <c r="AL84" i="19"/>
  <c r="AL84" i="13"/>
  <c r="G22" i="5"/>
  <c r="K22" i="4"/>
  <c r="J22" i="4"/>
  <c r="AL74" i="13"/>
  <c r="AL74" i="19"/>
  <c r="AL40" i="19"/>
  <c r="AL40" i="13"/>
  <c r="K16" i="4"/>
  <c r="G16" i="5"/>
  <c r="J16" i="5" s="1"/>
  <c r="K76" i="4"/>
  <c r="G76" i="5"/>
  <c r="AL67" i="13"/>
  <c r="AL67" i="19"/>
  <c r="AK41" i="13"/>
  <c r="AK41" i="19"/>
  <c r="G38" i="5"/>
  <c r="K38" i="4"/>
  <c r="J38" i="4"/>
  <c r="G82" i="6"/>
  <c r="K82" i="6" s="1"/>
  <c r="K82" i="5"/>
  <c r="AC81" i="19" s="1"/>
  <c r="J82" i="5"/>
  <c r="AD81" i="19" s="1"/>
  <c r="G17" i="5"/>
  <c r="J17" i="4"/>
  <c r="K17" i="4"/>
  <c r="AL58" i="19"/>
  <c r="AL58" i="13"/>
  <c r="AC22" i="19"/>
  <c r="AC22" i="13"/>
  <c r="K92" i="4"/>
  <c r="G92" i="5"/>
  <c r="J92" i="4"/>
  <c r="K65" i="4"/>
  <c r="G65" i="5"/>
  <c r="J65" i="4"/>
  <c r="AK43" i="13"/>
  <c r="AK43" i="19"/>
  <c r="AL44" i="13"/>
  <c r="AL44" i="19"/>
  <c r="K21" i="4"/>
  <c r="AG20" i="13" s="1"/>
  <c r="G21" i="5"/>
  <c r="AK68" i="19"/>
  <c r="AK68" i="13"/>
  <c r="J49" i="4"/>
  <c r="G49" i="5"/>
  <c r="K49" i="4"/>
  <c r="AK11" i="19"/>
  <c r="AK11" i="13"/>
  <c r="K81" i="4"/>
  <c r="G81" i="5"/>
  <c r="J81" i="4"/>
  <c r="AK69" i="13"/>
  <c r="AK69" i="19"/>
  <c r="AK47" i="19"/>
  <c r="AK47" i="13"/>
  <c r="G40" i="5"/>
  <c r="J40" i="4"/>
  <c r="K40" i="4"/>
  <c r="AL14" i="19"/>
  <c r="AL14" i="13"/>
  <c r="AK83" i="19"/>
  <c r="AK83" i="13"/>
  <c r="AL45" i="19"/>
  <c r="AL45" i="13"/>
  <c r="G27" i="9"/>
  <c r="G27" i="10" s="1"/>
  <c r="J76" i="4"/>
  <c r="AH75" i="19" s="1"/>
  <c r="AK54" i="19"/>
  <c r="AK54" i="13"/>
  <c r="K51" i="4"/>
  <c r="G51" i="5"/>
  <c r="J51" i="4"/>
  <c r="AK53" i="13"/>
  <c r="AK53" i="19"/>
  <c r="K18" i="4"/>
  <c r="J18" i="4"/>
  <c r="G18" i="5"/>
  <c r="AK84" i="13"/>
  <c r="AK84" i="19"/>
  <c r="AK87" i="13"/>
  <c r="AK87" i="19"/>
  <c r="AK74" i="13"/>
  <c r="AK74" i="19"/>
  <c r="AK40" i="19"/>
  <c r="AK40" i="13"/>
  <c r="AK71" i="13"/>
  <c r="AK71" i="19"/>
  <c r="K68" i="4"/>
  <c r="G68" i="5"/>
  <c r="J68" i="4"/>
  <c r="K42" i="4"/>
  <c r="G42" i="5"/>
  <c r="J42" i="4"/>
  <c r="AK23" i="13"/>
  <c r="AK23" i="19"/>
  <c r="AH61" i="19"/>
  <c r="AH61" i="13"/>
  <c r="AL85" i="13"/>
  <c r="AL85" i="19"/>
  <c r="AK58" i="19"/>
  <c r="AK58" i="13"/>
  <c r="K44" i="4"/>
  <c r="G44" i="5"/>
  <c r="J44" i="4"/>
  <c r="AK44" i="13"/>
  <c r="AK44" i="19"/>
  <c r="AH27" i="19"/>
  <c r="AH27" i="13"/>
  <c r="G69" i="5"/>
  <c r="J69" i="5" s="1"/>
  <c r="K69" i="4"/>
  <c r="J69" i="4"/>
  <c r="AH68" i="13" s="1"/>
  <c r="AL11" i="13"/>
  <c r="AL11" i="19"/>
  <c r="AL80" i="19"/>
  <c r="AL80" i="13"/>
  <c r="G70" i="5"/>
  <c r="J70" i="4"/>
  <c r="K70" i="4"/>
  <c r="K48" i="4"/>
  <c r="J48" i="4"/>
  <c r="G48" i="5"/>
  <c r="AK29" i="19"/>
  <c r="AK29" i="13"/>
  <c r="G15" i="5"/>
  <c r="J15" i="4"/>
  <c r="K15" i="4"/>
  <c r="G84" i="5"/>
  <c r="K84" i="4"/>
  <c r="J84" i="4"/>
  <c r="AK45" i="19"/>
  <c r="AK45" i="13"/>
  <c r="H79" i="5"/>
  <c r="J79" i="4"/>
  <c r="AH78" i="13" s="1"/>
  <c r="J55" i="4"/>
  <c r="K55" i="4"/>
  <c r="G55" i="5"/>
  <c r="G8" i="5"/>
  <c r="J8" i="4"/>
  <c r="AH7" i="13" s="1"/>
  <c r="K8" i="4"/>
  <c r="AG7" i="13" s="1"/>
  <c r="J54" i="4"/>
  <c r="K54" i="4"/>
  <c r="G54" i="5"/>
  <c r="J85" i="4"/>
  <c r="K85" i="4"/>
  <c r="G85" i="5"/>
  <c r="J88" i="4"/>
  <c r="K88" i="4"/>
  <c r="G88" i="5"/>
  <c r="AK62" i="19"/>
  <c r="AK62" i="13"/>
  <c r="J41" i="4"/>
  <c r="G41" i="5"/>
  <c r="K41" i="4"/>
  <c r="K6" i="4"/>
  <c r="AG5" i="13" s="1"/>
  <c r="G6" i="5"/>
  <c r="J72" i="4"/>
  <c r="G72" i="5"/>
  <c r="K72" i="4"/>
  <c r="AK67" i="19"/>
  <c r="AK67" i="13"/>
  <c r="AL37" i="19"/>
  <c r="AL37" i="13"/>
  <c r="AL23" i="19"/>
  <c r="AL23" i="13"/>
  <c r="AK16" i="19"/>
  <c r="AK16" i="13"/>
  <c r="AK85" i="19"/>
  <c r="AK85" i="13"/>
  <c r="K64" i="7"/>
  <c r="G64" i="8"/>
  <c r="J59" i="4"/>
  <c r="G59" i="5"/>
  <c r="K59" i="4"/>
  <c r="G35" i="5"/>
  <c r="J35" i="5" s="1"/>
  <c r="AD34" i="13" s="1"/>
  <c r="K35" i="4"/>
  <c r="AG34" i="13" s="1"/>
  <c r="G45" i="5"/>
  <c r="K45" i="4"/>
  <c r="J45" i="4"/>
  <c r="AK79" i="13"/>
  <c r="AK79" i="19"/>
  <c r="AL48" i="13"/>
  <c r="AL48" i="19"/>
  <c r="G12" i="5"/>
  <c r="K12" i="4"/>
  <c r="J12" i="4"/>
  <c r="G74" i="5"/>
  <c r="K74" i="4"/>
  <c r="J74" i="4"/>
  <c r="AL69" i="19"/>
  <c r="AL69" i="13"/>
  <c r="AL39" i="19"/>
  <c r="AL39" i="13"/>
  <c r="AL29" i="13"/>
  <c r="AL29" i="19"/>
  <c r="AK14" i="19"/>
  <c r="AK14" i="13"/>
  <c r="K87" i="5"/>
  <c r="G87" i="6"/>
  <c r="G46" i="5"/>
  <c r="K46" i="4"/>
  <c r="J46" i="4"/>
  <c r="AG61" i="13"/>
  <c r="AG61" i="19"/>
  <c r="AS120" i="19"/>
  <c r="AL50" i="19"/>
  <c r="AL50" i="13"/>
  <c r="AH66" i="19"/>
  <c r="AH66" i="13"/>
  <c r="AK17" i="19"/>
  <c r="AK17" i="13"/>
  <c r="K96" i="4"/>
  <c r="AG95" i="13" s="1"/>
  <c r="J96" i="4"/>
  <c r="AH95" i="13" s="1"/>
  <c r="G96" i="5"/>
  <c r="AK21" i="13"/>
  <c r="AK21" i="19"/>
  <c r="K75" i="4"/>
  <c r="J75" i="4"/>
  <c r="G75" i="5"/>
  <c r="K63" i="4"/>
  <c r="G63" i="5"/>
  <c r="AK15" i="13"/>
  <c r="AK15" i="19"/>
  <c r="AK75" i="19"/>
  <c r="AK75" i="13"/>
  <c r="AL71" i="13"/>
  <c r="AL71" i="19"/>
  <c r="AL41" i="19"/>
  <c r="AL41" i="13"/>
  <c r="AK37" i="19"/>
  <c r="AK37" i="13"/>
  <c r="G24" i="5"/>
  <c r="J24" i="4"/>
  <c r="K24" i="4"/>
  <c r="AL16" i="19"/>
  <c r="AL16" i="13"/>
  <c r="K86" i="4"/>
  <c r="G86" i="5"/>
  <c r="J86" i="4"/>
  <c r="Y63" i="19"/>
  <c r="Y63" i="13"/>
  <c r="K23" i="6"/>
  <c r="G23" i="7"/>
  <c r="AK91" i="13"/>
  <c r="AK91" i="19"/>
  <c r="AK64" i="19"/>
  <c r="AK64" i="13"/>
  <c r="AL43" i="13"/>
  <c r="AL43" i="19"/>
  <c r="K83" i="4"/>
  <c r="AG82" i="13" s="1"/>
  <c r="G83" i="5"/>
  <c r="J83" i="5" s="1"/>
  <c r="AD82" i="13" s="1"/>
  <c r="J80" i="4"/>
  <c r="G80" i="5"/>
  <c r="K80" i="4"/>
  <c r="AK48" i="19"/>
  <c r="AK48" i="13"/>
  <c r="J25" i="4"/>
  <c r="AH24" i="13" s="1"/>
  <c r="G25" i="5"/>
  <c r="K25" i="4"/>
  <c r="AG24" i="13" s="1"/>
  <c r="AK80" i="19"/>
  <c r="AK80" i="13"/>
  <c r="AK73" i="19"/>
  <c r="AK73" i="13"/>
  <c r="AL47" i="19"/>
  <c r="AL47" i="13"/>
  <c r="AK39" i="19"/>
  <c r="AK39" i="13"/>
  <c r="J30" i="4"/>
  <c r="K30" i="4"/>
  <c r="G30" i="5"/>
  <c r="AL83" i="13"/>
  <c r="AL83" i="19"/>
  <c r="AG86" i="19"/>
  <c r="AG86" i="13"/>
  <c r="AI107" i="19"/>
  <c r="AI117" i="19" s="1"/>
  <c r="AI106" i="19"/>
  <c r="AI116" i="19" s="1"/>
  <c r="AI110" i="19"/>
  <c r="AI120" i="19" s="1"/>
  <c r="AI109" i="19"/>
  <c r="AI119" i="19" s="1"/>
  <c r="AI108" i="19"/>
  <c r="AI118" i="19" s="1"/>
  <c r="AJ107" i="19"/>
  <c r="AJ117" i="19" s="1"/>
  <c r="AJ110" i="19"/>
  <c r="AJ120" i="19" s="1"/>
  <c r="AJ106" i="19"/>
  <c r="AJ116" i="19" s="1"/>
  <c r="AJ108" i="19"/>
  <c r="AJ118" i="19" s="1"/>
  <c r="AJ109" i="19"/>
  <c r="AJ119" i="19" s="1"/>
  <c r="AC70" i="19"/>
  <c r="K31" i="6"/>
  <c r="J31" i="6"/>
  <c r="G31" i="7"/>
  <c r="AC30" i="19"/>
  <c r="AC30" i="13"/>
  <c r="K53" i="6"/>
  <c r="Y52" i="13" s="1"/>
  <c r="G53" i="7"/>
  <c r="J53" i="6"/>
  <c r="Z52" i="13" s="1"/>
  <c r="J71" i="6"/>
  <c r="Z70" i="13" s="1"/>
  <c r="AD30" i="13"/>
  <c r="AD30" i="19"/>
  <c r="G71" i="7"/>
  <c r="J71" i="7" s="1"/>
  <c r="AN110" i="19"/>
  <c r="AN120" i="19" s="1"/>
  <c r="AN108" i="19"/>
  <c r="AN118" i="19" s="1"/>
  <c r="AN107" i="19"/>
  <c r="AN117" i="19" s="1"/>
  <c r="AN109" i="19"/>
  <c r="AN119" i="19" s="1"/>
  <c r="H86" i="7"/>
  <c r="H10" i="6"/>
  <c r="J10" i="5"/>
  <c r="H21" i="5"/>
  <c r="J21" i="4"/>
  <c r="AH20" i="13" s="1"/>
  <c r="AH63" i="19"/>
  <c r="AH63" i="13"/>
  <c r="G71" i="8"/>
  <c r="H89" i="7"/>
  <c r="J89" i="6"/>
  <c r="AD57" i="19"/>
  <c r="AD57" i="13"/>
  <c r="G28" i="7"/>
  <c r="K28" i="6"/>
  <c r="J28" i="6"/>
  <c r="H23" i="7"/>
  <c r="J23" i="6"/>
  <c r="H14" i="6"/>
  <c r="J14" i="5"/>
  <c r="E5" i="3"/>
  <c r="AN4" i="13" s="1"/>
  <c r="H5" i="3"/>
  <c r="AH36" i="19"/>
  <c r="AH36" i="13"/>
  <c r="H64" i="6"/>
  <c r="J64" i="5"/>
  <c r="AC57" i="19"/>
  <c r="AC57" i="13"/>
  <c r="J77" i="4"/>
  <c r="AH76" i="13" s="1"/>
  <c r="H77" i="5"/>
  <c r="J33" i="6"/>
  <c r="Z32" i="13" s="1"/>
  <c r="G33" i="7"/>
  <c r="K33" i="6"/>
  <c r="Y32" i="13" s="1"/>
  <c r="AH15" i="19"/>
  <c r="AH15" i="13"/>
  <c r="G58" i="7"/>
  <c r="J58" i="6"/>
  <c r="K58" i="6"/>
  <c r="K29" i="6"/>
  <c r="K5" i="8"/>
  <c r="Q4" i="13" s="1"/>
  <c r="G5" i="9"/>
  <c r="H6" i="4"/>
  <c r="J6" i="3"/>
  <c r="AL5" i="13" s="1"/>
  <c r="J37" i="5"/>
  <c r="AD36" i="13" s="1"/>
  <c r="AD86" i="13"/>
  <c r="AD86" i="19"/>
  <c r="AH9" i="19"/>
  <c r="AH9" i="13"/>
  <c r="G10" i="10"/>
  <c r="K10" i="9"/>
  <c r="H16" i="6"/>
  <c r="AD88" i="19"/>
  <c r="AD88" i="13"/>
  <c r="AD56" i="19"/>
  <c r="AD56" i="13"/>
  <c r="J27" i="4"/>
  <c r="AH26" i="13" s="1"/>
  <c r="H27" i="5"/>
  <c r="AC27" i="19"/>
  <c r="AC27" i="13"/>
  <c r="AD22" i="19"/>
  <c r="AD22" i="13"/>
  <c r="AH13" i="19"/>
  <c r="AH13" i="13"/>
  <c r="G56" i="8"/>
  <c r="J56" i="7"/>
  <c r="G13" i="7"/>
  <c r="K13" i="6"/>
  <c r="J13" i="6"/>
  <c r="AD72" i="19"/>
  <c r="G67" i="7"/>
  <c r="K67" i="6"/>
  <c r="J67" i="6"/>
  <c r="AC46" i="13"/>
  <c r="AC46" i="19"/>
  <c r="AD12" i="19"/>
  <c r="AD12" i="13"/>
  <c r="H45" i="10"/>
  <c r="Z18" i="19"/>
  <c r="Z18" i="13"/>
  <c r="G89" i="9"/>
  <c r="K89" i="8"/>
  <c r="G47" i="7"/>
  <c r="K47" i="6"/>
  <c r="J47" i="6"/>
  <c r="AC12" i="19"/>
  <c r="AC12" i="13"/>
  <c r="AD8" i="19"/>
  <c r="AD8" i="13"/>
  <c r="AC72" i="19"/>
  <c r="AC72" i="13"/>
  <c r="AC36" i="13"/>
  <c r="AC36" i="19"/>
  <c r="AC10" i="19"/>
  <c r="AC10" i="13"/>
  <c r="H24" i="9"/>
  <c r="H82" i="7"/>
  <c r="G91" i="12"/>
  <c r="K91" i="11"/>
  <c r="E90" i="13" s="1"/>
  <c r="U88" i="19"/>
  <c r="U88" i="13"/>
  <c r="Y55" i="13"/>
  <c r="Y55" i="19"/>
  <c r="AD46" i="19"/>
  <c r="AD46" i="13"/>
  <c r="H9" i="7"/>
  <c r="J9" i="6"/>
  <c r="G9" i="9"/>
  <c r="K9" i="8"/>
  <c r="G37" i="7"/>
  <c r="K37" i="6"/>
  <c r="J37" i="6"/>
  <c r="G11" i="7"/>
  <c r="K11" i="6"/>
  <c r="J11" i="6"/>
  <c r="AD66" i="13"/>
  <c r="AD66" i="19"/>
  <c r="G73" i="7"/>
  <c r="K73" i="6"/>
  <c r="J73" i="6"/>
  <c r="AD10" i="19"/>
  <c r="AD10" i="13"/>
  <c r="AC66" i="19"/>
  <c r="AC66" i="13"/>
  <c r="H35" i="6"/>
  <c r="AO100" i="19"/>
  <c r="AO103" i="19"/>
  <c r="AO113" i="19" s="1"/>
  <c r="AO105" i="19"/>
  <c r="AO115" i="19" s="1"/>
  <c r="AO104" i="19"/>
  <c r="AO114" i="19" s="1"/>
  <c r="AO102" i="19"/>
  <c r="AO112" i="19" s="1"/>
  <c r="AO101" i="19"/>
  <c r="AO111" i="19" s="1"/>
  <c r="AR107" i="19"/>
  <c r="AR117" i="19" s="1"/>
  <c r="AR110" i="19"/>
  <c r="AR120" i="19" s="1"/>
  <c r="AR108" i="19"/>
  <c r="AR118" i="19" s="1"/>
  <c r="AR109" i="19"/>
  <c r="AR119" i="19" s="1"/>
  <c r="AR106" i="19"/>
  <c r="AR116" i="19" s="1"/>
  <c r="AI10" i="15"/>
  <c r="AJ10" i="15" s="1"/>
  <c r="AI12" i="15"/>
  <c r="AJ12" i="15" s="1"/>
  <c r="AI5" i="15"/>
  <c r="AJ5" i="15" s="1"/>
  <c r="AI7" i="15"/>
  <c r="AJ7" i="15" s="1"/>
  <c r="AI11" i="15"/>
  <c r="AJ11" i="15" s="1"/>
  <c r="AI8" i="15"/>
  <c r="AJ8" i="15" s="1"/>
  <c r="AI4" i="15"/>
  <c r="AJ4" i="15" s="1"/>
  <c r="AI9" i="15"/>
  <c r="AJ9" i="15" s="1"/>
  <c r="AI6" i="15"/>
  <c r="AJ6" i="15" s="1"/>
  <c r="AI13" i="15"/>
  <c r="AJ13" i="15" s="1"/>
  <c r="AG7" i="15"/>
  <c r="AH7" i="15" s="1"/>
  <c r="AG5" i="15"/>
  <c r="AH5" i="15" s="1"/>
  <c r="AG9" i="15"/>
  <c r="AH9" i="15" s="1"/>
  <c r="AG17" i="15"/>
  <c r="AH17" i="15" s="1"/>
  <c r="AG16" i="15"/>
  <c r="AH16" i="15" s="1"/>
  <c r="AG14" i="15"/>
  <c r="AH14" i="15" s="1"/>
  <c r="AG12" i="15"/>
  <c r="AH12" i="15" s="1"/>
  <c r="AG4" i="15"/>
  <c r="AH4" i="15" s="1"/>
  <c r="AG8" i="15"/>
  <c r="AH8" i="15" s="1"/>
  <c r="AG6" i="15"/>
  <c r="AH6" i="15" s="1"/>
  <c r="AG11" i="15"/>
  <c r="AH11" i="15" s="1"/>
  <c r="AG19" i="15"/>
  <c r="AH19" i="15" s="1"/>
  <c r="AG15" i="15"/>
  <c r="AH15" i="15" s="1"/>
  <c r="AG13" i="15"/>
  <c r="AH13" i="15" s="1"/>
  <c r="AG10" i="15"/>
  <c r="AH10" i="15" s="1"/>
  <c r="AG18" i="15"/>
  <c r="AH18" i="15" s="1"/>
  <c r="AP104" i="19"/>
  <c r="AP114" i="19" s="1"/>
  <c r="AP101" i="19"/>
  <c r="AP111" i="19" s="1"/>
  <c r="AP103" i="19"/>
  <c r="AP113" i="19" s="1"/>
  <c r="AP102" i="19"/>
  <c r="AP112" i="19" s="1"/>
  <c r="AP105" i="19"/>
  <c r="AP115" i="19" s="1"/>
  <c r="AP100" i="19"/>
  <c r="AQ106" i="19"/>
  <c r="AQ116" i="19" s="1"/>
  <c r="AQ110" i="19"/>
  <c r="AQ120" i="19" s="1"/>
  <c r="AQ108" i="19"/>
  <c r="AQ118" i="19" s="1"/>
  <c r="AQ109" i="19"/>
  <c r="AQ119" i="19" s="1"/>
  <c r="AQ107" i="19"/>
  <c r="AQ117" i="19" s="1"/>
  <c r="AC28" i="13" l="1"/>
  <c r="AD92" i="13"/>
  <c r="AG28" i="19"/>
  <c r="AH18" i="13"/>
  <c r="J29" i="6"/>
  <c r="AG18" i="13"/>
  <c r="U8" i="13"/>
  <c r="Y18" i="13"/>
  <c r="G62" i="6"/>
  <c r="K36" i="6"/>
  <c r="Y35" i="13" s="1"/>
  <c r="G36" i="7"/>
  <c r="G36" i="8" s="1"/>
  <c r="J62" i="5"/>
  <c r="AD61" i="13" s="1"/>
  <c r="J36" i="5"/>
  <c r="AD35" i="19" s="1"/>
  <c r="K36" i="5"/>
  <c r="AC35" i="19" s="1"/>
  <c r="AG35" i="13"/>
  <c r="AH38" i="19"/>
  <c r="K93" i="5"/>
  <c r="AC92" i="13" s="1"/>
  <c r="J19" i="7"/>
  <c r="V18" i="13" s="1"/>
  <c r="K19" i="7"/>
  <c r="U18" i="13" s="1"/>
  <c r="I17" i="20"/>
  <c r="Z55" i="13"/>
  <c r="AC42" i="19"/>
  <c r="AD18" i="19"/>
  <c r="AC18" i="13"/>
  <c r="AC18" i="19"/>
  <c r="J82" i="6"/>
  <c r="Z81" i="19" s="1"/>
  <c r="K39" i="5"/>
  <c r="AC38" i="13" s="1"/>
  <c r="J93" i="6"/>
  <c r="Z92" i="13" s="1"/>
  <c r="AL103" i="19"/>
  <c r="AL113" i="19" s="1"/>
  <c r="G79" i="8"/>
  <c r="G79" i="9" s="1"/>
  <c r="Q9" i="13"/>
  <c r="AH68" i="19"/>
  <c r="K93" i="6"/>
  <c r="Y92" i="19" s="1"/>
  <c r="K71" i="7"/>
  <c r="U70" i="19" s="1"/>
  <c r="G77" i="8"/>
  <c r="G77" i="9" s="1"/>
  <c r="AC92" i="19"/>
  <c r="K27" i="9"/>
  <c r="M26" i="13" s="1"/>
  <c r="AC56" i="13"/>
  <c r="K43" i="6"/>
  <c r="Y42" i="13" s="1"/>
  <c r="AD35" i="13"/>
  <c r="K57" i="6"/>
  <c r="Y56" i="13" s="1"/>
  <c r="G43" i="7"/>
  <c r="J43" i="7" s="1"/>
  <c r="AL101" i="19"/>
  <c r="AL111" i="19" s="1"/>
  <c r="G39" i="7"/>
  <c r="J39" i="6"/>
  <c r="K39" i="6"/>
  <c r="G57" i="7"/>
  <c r="J57" i="7" s="1"/>
  <c r="AD36" i="19"/>
  <c r="AC81" i="13"/>
  <c r="AL102" i="19"/>
  <c r="AL112" i="19" s="1"/>
  <c r="G14" i="7"/>
  <c r="K14" i="6"/>
  <c r="AD81" i="13"/>
  <c r="AH75" i="13"/>
  <c r="AC13" i="19"/>
  <c r="AC13" i="13"/>
  <c r="AL100" i="19"/>
  <c r="AL108" i="19" s="1"/>
  <c r="AL118" i="19" s="1"/>
  <c r="Y15" i="15"/>
  <c r="Z15" i="15" s="1"/>
  <c r="Y22" i="15"/>
  <c r="Z22" i="15" s="1"/>
  <c r="Y13" i="15"/>
  <c r="Z13" i="15" s="1"/>
  <c r="Y21" i="15"/>
  <c r="Z21" i="15" s="1"/>
  <c r="Y5" i="15"/>
  <c r="Z5" i="15" s="1"/>
  <c r="Y8" i="15"/>
  <c r="Z8" i="15" s="1"/>
  <c r="Y18" i="15"/>
  <c r="Z18" i="15" s="1"/>
  <c r="Y7" i="15"/>
  <c r="Z7" i="15" s="1"/>
  <c r="Y4" i="15"/>
  <c r="Z4" i="15" s="1"/>
  <c r="Y9" i="15"/>
  <c r="Z9" i="15" s="1"/>
  <c r="Y20" i="15"/>
  <c r="Z20" i="15" s="1"/>
  <c r="Y17" i="15"/>
  <c r="Z17" i="15" s="1"/>
  <c r="Y12" i="15"/>
  <c r="Z12" i="15" s="1"/>
  <c r="AH31" i="19"/>
  <c r="AH31" i="13"/>
  <c r="AH49" i="19"/>
  <c r="AH49" i="13"/>
  <c r="Y6" i="15"/>
  <c r="Z6" i="15" s="1"/>
  <c r="Z70" i="19"/>
  <c r="AL104" i="19"/>
  <c r="AL114" i="19" s="1"/>
  <c r="AK101" i="19"/>
  <c r="AK111" i="19" s="1"/>
  <c r="AK103" i="19"/>
  <c r="AK113" i="19" s="1"/>
  <c r="AK102" i="19"/>
  <c r="AK112" i="19" s="1"/>
  <c r="AK105" i="19"/>
  <c r="AK115" i="19" s="1"/>
  <c r="AK104" i="19"/>
  <c r="AK114" i="19" s="1"/>
  <c r="AG31" i="13"/>
  <c r="AG31" i="19"/>
  <c r="K50" i="5"/>
  <c r="G50" i="6"/>
  <c r="J50" i="5"/>
  <c r="J60" i="5"/>
  <c r="AD59" i="13" s="1"/>
  <c r="K60" i="5"/>
  <c r="AC59" i="13" s="1"/>
  <c r="G60" i="6"/>
  <c r="AL105" i="19"/>
  <c r="AL115" i="19" s="1"/>
  <c r="G82" i="7"/>
  <c r="G82" i="8" s="1"/>
  <c r="K32" i="5"/>
  <c r="G32" i="6"/>
  <c r="J32" i="5"/>
  <c r="Y16" i="15"/>
  <c r="Z16" i="15" s="1"/>
  <c r="Y19" i="15"/>
  <c r="Z19" i="15" s="1"/>
  <c r="H91" i="6"/>
  <c r="J91" i="5"/>
  <c r="AD90" i="13" s="1"/>
  <c r="AG49" i="13"/>
  <c r="AG49" i="19"/>
  <c r="Y10" i="15"/>
  <c r="Z10" i="15" s="1"/>
  <c r="Y14" i="15"/>
  <c r="Z14" i="15" s="1"/>
  <c r="Y11" i="15"/>
  <c r="Z11" i="15" s="1"/>
  <c r="AD68" i="19"/>
  <c r="AD68" i="13"/>
  <c r="G30" i="6"/>
  <c r="J30" i="5"/>
  <c r="K30" i="5"/>
  <c r="G25" i="6"/>
  <c r="J25" i="5"/>
  <c r="AD24" i="13" s="1"/>
  <c r="K25" i="5"/>
  <c r="AC24" i="13" s="1"/>
  <c r="AG79" i="19"/>
  <c r="AG79" i="13"/>
  <c r="Y22" i="13"/>
  <c r="Y22" i="19"/>
  <c r="G86" i="6"/>
  <c r="K86" i="5"/>
  <c r="J86" i="5"/>
  <c r="AG23" i="19"/>
  <c r="AG23" i="13"/>
  <c r="AH74" i="19"/>
  <c r="AH74" i="13"/>
  <c r="K96" i="5"/>
  <c r="AC95" i="13" s="1"/>
  <c r="J96" i="5"/>
  <c r="AD95" i="13" s="1"/>
  <c r="G96" i="6"/>
  <c r="AH45" i="13"/>
  <c r="AH45" i="19"/>
  <c r="AC86" i="13"/>
  <c r="AC86" i="19"/>
  <c r="AH11" i="13"/>
  <c r="AH11" i="19"/>
  <c r="AG44" i="19"/>
  <c r="AG44" i="13"/>
  <c r="AG58" i="13"/>
  <c r="AG58" i="19"/>
  <c r="U63" i="13"/>
  <c r="U63" i="19"/>
  <c r="G72" i="6"/>
  <c r="K72" i="5"/>
  <c r="J72" i="5"/>
  <c r="AG40" i="19"/>
  <c r="AG40" i="13"/>
  <c r="G85" i="6"/>
  <c r="K85" i="5"/>
  <c r="J85" i="5"/>
  <c r="AG53" i="19"/>
  <c r="AG53" i="13"/>
  <c r="K8" i="5"/>
  <c r="AC7" i="13" s="1"/>
  <c r="J8" i="5"/>
  <c r="AD7" i="13" s="1"/>
  <c r="G8" i="6"/>
  <c r="AC61" i="13"/>
  <c r="AC61" i="19"/>
  <c r="AH83" i="19"/>
  <c r="AH83" i="13"/>
  <c r="AG47" i="19"/>
  <c r="AG47" i="13"/>
  <c r="K44" i="5"/>
  <c r="G44" i="6"/>
  <c r="J44" i="5"/>
  <c r="AG41" i="19"/>
  <c r="AG41" i="13"/>
  <c r="AG17" i="13"/>
  <c r="AG17" i="19"/>
  <c r="J51" i="5"/>
  <c r="K51" i="5"/>
  <c r="G51" i="6"/>
  <c r="J40" i="5"/>
  <c r="K40" i="5"/>
  <c r="G40" i="6"/>
  <c r="AH48" i="19"/>
  <c r="AH48" i="13"/>
  <c r="AH91" i="19"/>
  <c r="AH91" i="13"/>
  <c r="AH16" i="19"/>
  <c r="AH16" i="13"/>
  <c r="G76" i="6"/>
  <c r="K76" i="5"/>
  <c r="J76" i="5"/>
  <c r="AH21" i="13"/>
  <c r="AH21" i="19"/>
  <c r="AG29" i="13"/>
  <c r="AG29" i="19"/>
  <c r="J80" i="5"/>
  <c r="K80" i="5"/>
  <c r="G80" i="6"/>
  <c r="AG85" i="19"/>
  <c r="AG85" i="13"/>
  <c r="AH23" i="19"/>
  <c r="AH23" i="13"/>
  <c r="G63" i="6"/>
  <c r="J63" i="5"/>
  <c r="K63" i="5"/>
  <c r="AG74" i="19"/>
  <c r="AG74" i="13"/>
  <c r="AG45" i="13"/>
  <c r="AG45" i="19"/>
  <c r="AH73" i="19"/>
  <c r="AH73" i="13"/>
  <c r="AG11" i="19"/>
  <c r="AG11" i="13"/>
  <c r="J45" i="5"/>
  <c r="G45" i="6"/>
  <c r="K45" i="5"/>
  <c r="J59" i="5"/>
  <c r="G59" i="6"/>
  <c r="K59" i="5"/>
  <c r="AH71" i="19"/>
  <c r="AH71" i="13"/>
  <c r="G41" i="6"/>
  <c r="K41" i="5"/>
  <c r="J41" i="5"/>
  <c r="G88" i="6"/>
  <c r="J88" i="5"/>
  <c r="K88" i="5"/>
  <c r="AG84" i="13"/>
  <c r="AG84" i="19"/>
  <c r="AH53" i="13"/>
  <c r="AH53" i="19"/>
  <c r="J55" i="5"/>
  <c r="G55" i="6"/>
  <c r="K55" i="5"/>
  <c r="G62" i="7"/>
  <c r="K62" i="6"/>
  <c r="J62" i="6"/>
  <c r="AG83" i="13"/>
  <c r="AG83" i="19"/>
  <c r="AG14" i="19"/>
  <c r="AG14" i="13"/>
  <c r="AG69" i="19"/>
  <c r="AG69" i="13"/>
  <c r="AG68" i="13"/>
  <c r="AG68" i="19"/>
  <c r="AG43" i="19"/>
  <c r="AG43" i="13"/>
  <c r="AH67" i="13"/>
  <c r="AH67" i="19"/>
  <c r="AG50" i="13"/>
  <c r="AG50" i="19"/>
  <c r="AH80" i="19"/>
  <c r="AH80" i="13"/>
  <c r="AK100" i="19"/>
  <c r="AH64" i="13"/>
  <c r="AH64" i="19"/>
  <c r="J92" i="5"/>
  <c r="G92" i="6"/>
  <c r="K92" i="5"/>
  <c r="G17" i="6"/>
  <c r="K17" i="5"/>
  <c r="J17" i="5"/>
  <c r="AH37" i="13"/>
  <c r="AH37" i="19"/>
  <c r="AG75" i="19"/>
  <c r="AG75" i="13"/>
  <c r="AG21" i="13"/>
  <c r="AG21" i="19"/>
  <c r="AH29" i="13"/>
  <c r="AH29" i="19"/>
  <c r="AH79" i="19"/>
  <c r="AH79" i="13"/>
  <c r="J24" i="5"/>
  <c r="G24" i="6"/>
  <c r="K24" i="5"/>
  <c r="AG62" i="13"/>
  <c r="AG62" i="19"/>
  <c r="G46" i="6"/>
  <c r="K46" i="5"/>
  <c r="J46" i="5"/>
  <c r="AG73" i="13"/>
  <c r="AG73" i="19"/>
  <c r="G12" i="6"/>
  <c r="K12" i="5"/>
  <c r="J12" i="5"/>
  <c r="AH58" i="19"/>
  <c r="AH58" i="13"/>
  <c r="K6" i="5"/>
  <c r="AC5" i="13" s="1"/>
  <c r="G6" i="6"/>
  <c r="AH40" i="13"/>
  <c r="AH40" i="19"/>
  <c r="AG87" i="19"/>
  <c r="AG87" i="13"/>
  <c r="AH84" i="19"/>
  <c r="AH84" i="13"/>
  <c r="AG54" i="19"/>
  <c r="AG54" i="13"/>
  <c r="H79" i="6"/>
  <c r="J79" i="5"/>
  <c r="AD78" i="13" s="1"/>
  <c r="J84" i="5"/>
  <c r="K84" i="5"/>
  <c r="G84" i="6"/>
  <c r="AH14" i="19"/>
  <c r="AH14" i="13"/>
  <c r="J48" i="5"/>
  <c r="K48" i="5"/>
  <c r="G48" i="6"/>
  <c r="AH69" i="19"/>
  <c r="AH69" i="13"/>
  <c r="K69" i="5"/>
  <c r="G69" i="6"/>
  <c r="AH41" i="19"/>
  <c r="AH41" i="13"/>
  <c r="J68" i="5"/>
  <c r="K68" i="5"/>
  <c r="G68" i="6"/>
  <c r="G18" i="6"/>
  <c r="K18" i="5"/>
  <c r="J18" i="5"/>
  <c r="AG39" i="19"/>
  <c r="AG39" i="13"/>
  <c r="G81" i="6"/>
  <c r="K81" i="5"/>
  <c r="J81" i="5"/>
  <c r="AG48" i="13"/>
  <c r="AG48" i="19"/>
  <c r="K65" i="5"/>
  <c r="J65" i="5"/>
  <c r="G65" i="6"/>
  <c r="AG91" i="19"/>
  <c r="AG91" i="13"/>
  <c r="AG37" i="19"/>
  <c r="AG37" i="13"/>
  <c r="G16" i="6"/>
  <c r="J16" i="6" s="1"/>
  <c r="K16" i="5"/>
  <c r="G22" i="6"/>
  <c r="K22" i="5"/>
  <c r="J22" i="5"/>
  <c r="K94" i="5"/>
  <c r="AC93" i="13" s="1"/>
  <c r="J94" i="5"/>
  <c r="AD93" i="13" s="1"/>
  <c r="G94" i="6"/>
  <c r="G83" i="6"/>
  <c r="K83" i="5"/>
  <c r="AC82" i="13" s="1"/>
  <c r="G23" i="8"/>
  <c r="K23" i="7"/>
  <c r="AH85" i="19"/>
  <c r="AH85" i="13"/>
  <c r="G75" i="6"/>
  <c r="J75" i="5"/>
  <c r="K75" i="5"/>
  <c r="G87" i="7"/>
  <c r="K87" i="6"/>
  <c r="J87" i="6"/>
  <c r="K74" i="5"/>
  <c r="J74" i="5"/>
  <c r="G74" i="6"/>
  <c r="AH44" i="19"/>
  <c r="AH44" i="13"/>
  <c r="G35" i="6"/>
  <c r="J35" i="6" s="1"/>
  <c r="Z34" i="13" s="1"/>
  <c r="K35" i="5"/>
  <c r="AC34" i="13" s="1"/>
  <c r="K64" i="8"/>
  <c r="G64" i="9"/>
  <c r="AG71" i="13"/>
  <c r="AG71" i="19"/>
  <c r="AH87" i="19"/>
  <c r="AH87" i="13"/>
  <c r="G54" i="6"/>
  <c r="J54" i="5"/>
  <c r="K54" i="5"/>
  <c r="AH54" i="13"/>
  <c r="AH54" i="19"/>
  <c r="AD61" i="19"/>
  <c r="K15" i="5"/>
  <c r="G15" i="6"/>
  <c r="J15" i="5"/>
  <c r="AH47" i="13"/>
  <c r="AH47" i="19"/>
  <c r="K70" i="5"/>
  <c r="G70" i="6"/>
  <c r="J70" i="5"/>
  <c r="AH43" i="19"/>
  <c r="AH43" i="13"/>
  <c r="J42" i="5"/>
  <c r="K42" i="5"/>
  <c r="G42" i="6"/>
  <c r="AG67" i="13"/>
  <c r="AG67" i="19"/>
  <c r="AH17" i="19"/>
  <c r="AH17" i="13"/>
  <c r="AH50" i="13"/>
  <c r="AH50" i="19"/>
  <c r="AH39" i="19"/>
  <c r="AH39" i="13"/>
  <c r="AG80" i="19"/>
  <c r="AG80" i="13"/>
  <c r="K49" i="5"/>
  <c r="G49" i="6"/>
  <c r="J49" i="5"/>
  <c r="G21" i="6"/>
  <c r="K21" i="5"/>
  <c r="AC20" i="13" s="1"/>
  <c r="AG64" i="19"/>
  <c r="AG64" i="13"/>
  <c r="AG16" i="19"/>
  <c r="AG16" i="13"/>
  <c r="K38" i="5"/>
  <c r="J38" i="5"/>
  <c r="G38" i="6"/>
  <c r="AG15" i="19"/>
  <c r="AG15" i="13"/>
  <c r="Y81" i="19"/>
  <c r="Y81" i="13"/>
  <c r="Z30" i="19"/>
  <c r="Z30" i="13"/>
  <c r="Y30" i="19"/>
  <c r="Y30" i="13"/>
  <c r="Z42" i="19"/>
  <c r="Z42" i="13"/>
  <c r="K53" i="7"/>
  <c r="U52" i="13" s="1"/>
  <c r="G53" i="8"/>
  <c r="J53" i="7"/>
  <c r="V52" i="13" s="1"/>
  <c r="K31" i="7"/>
  <c r="G31" i="8"/>
  <c r="J31" i="7"/>
  <c r="H27" i="6"/>
  <c r="J27" i="5"/>
  <c r="AD26" i="13" s="1"/>
  <c r="M9" i="13"/>
  <c r="M9" i="19"/>
  <c r="G29" i="8"/>
  <c r="J29" i="7"/>
  <c r="K29" i="7"/>
  <c r="G58" i="8"/>
  <c r="K58" i="7"/>
  <c r="J58" i="7"/>
  <c r="AD63" i="19"/>
  <c r="AD63" i="13"/>
  <c r="H14" i="7"/>
  <c r="J14" i="6"/>
  <c r="Z22" i="19"/>
  <c r="Z22" i="13"/>
  <c r="Y27" i="19"/>
  <c r="Y27" i="13"/>
  <c r="H89" i="8"/>
  <c r="J89" i="7"/>
  <c r="H10" i="7"/>
  <c r="J10" i="6"/>
  <c r="H86" i="8"/>
  <c r="K5" i="9"/>
  <c r="M4" i="13" s="1"/>
  <c r="G5" i="10"/>
  <c r="Z28" i="19"/>
  <c r="Z28" i="13"/>
  <c r="H77" i="6"/>
  <c r="J77" i="5"/>
  <c r="AD76" i="13" s="1"/>
  <c r="H64" i="7"/>
  <c r="J64" i="6"/>
  <c r="H5" i="4"/>
  <c r="J5" i="3"/>
  <c r="AL4" i="13" s="1"/>
  <c r="H23" i="8"/>
  <c r="J23" i="7"/>
  <c r="G28" i="8"/>
  <c r="K28" i="7"/>
  <c r="J28" i="7"/>
  <c r="AD15" i="19"/>
  <c r="AD15" i="13"/>
  <c r="K10" i="10"/>
  <c r="G10" i="11"/>
  <c r="H6" i="5"/>
  <c r="J6" i="4"/>
  <c r="AH5" i="13" s="1"/>
  <c r="Y57" i="19"/>
  <c r="Y57" i="13"/>
  <c r="AE5" i="15"/>
  <c r="AF5" i="15" s="1"/>
  <c r="AE11" i="15"/>
  <c r="AF11" i="15" s="1"/>
  <c r="AE14" i="15"/>
  <c r="AF14" i="15" s="1"/>
  <c r="AE8" i="15"/>
  <c r="AF8" i="15" s="1"/>
  <c r="AE12" i="15"/>
  <c r="AF12" i="15" s="1"/>
  <c r="AE13" i="15"/>
  <c r="AF13" i="15" s="1"/>
  <c r="AE9" i="15"/>
  <c r="AF9" i="15" s="1"/>
  <c r="AE4" i="15"/>
  <c r="AF4" i="15" s="1"/>
  <c r="AE6" i="15"/>
  <c r="AF6" i="15" s="1"/>
  <c r="AE7" i="15"/>
  <c r="AF7" i="15" s="1"/>
  <c r="AE10" i="15"/>
  <c r="AF10" i="15" s="1"/>
  <c r="V70" i="19"/>
  <c r="V70" i="13"/>
  <c r="H21" i="6"/>
  <c r="J21" i="5"/>
  <c r="AD20" i="13" s="1"/>
  <c r="H16" i="7"/>
  <c r="Y28" i="19"/>
  <c r="Y28" i="13"/>
  <c r="Z57" i="19"/>
  <c r="Z57" i="13"/>
  <c r="Z56" i="19"/>
  <c r="Z56" i="13"/>
  <c r="G33" i="8"/>
  <c r="J33" i="7"/>
  <c r="V32" i="13" s="1"/>
  <c r="K33" i="7"/>
  <c r="U32" i="13" s="1"/>
  <c r="AD13" i="19"/>
  <c r="AD13" i="13"/>
  <c r="Z27" i="13"/>
  <c r="Z27" i="19"/>
  <c r="Z88" i="13"/>
  <c r="Z88" i="19"/>
  <c r="J71" i="8"/>
  <c r="G71" i="9"/>
  <c r="K71" i="8"/>
  <c r="AD9" i="19"/>
  <c r="AD9" i="13"/>
  <c r="Z72" i="19"/>
  <c r="Z72" i="13"/>
  <c r="Z10" i="19"/>
  <c r="Z10" i="13"/>
  <c r="Y36" i="19"/>
  <c r="Y36" i="13"/>
  <c r="H9" i="8"/>
  <c r="J9" i="7"/>
  <c r="Z46" i="19"/>
  <c r="Z46" i="13"/>
  <c r="G13" i="8"/>
  <c r="K13" i="7"/>
  <c r="J13" i="7"/>
  <c r="Y72" i="13"/>
  <c r="Y72" i="19"/>
  <c r="Y10" i="13"/>
  <c r="Y10" i="19"/>
  <c r="G37" i="8"/>
  <c r="K37" i="7"/>
  <c r="J37" i="7"/>
  <c r="Z81" i="13"/>
  <c r="Q88" i="13"/>
  <c r="Q88" i="19"/>
  <c r="U55" i="13"/>
  <c r="U55" i="19"/>
  <c r="K73" i="7"/>
  <c r="G73" i="8"/>
  <c r="J73" i="7"/>
  <c r="Z35" i="19"/>
  <c r="Z35" i="13"/>
  <c r="G11" i="8"/>
  <c r="K11" i="7"/>
  <c r="J11" i="7"/>
  <c r="Q8" i="19"/>
  <c r="Q8" i="13"/>
  <c r="K91" i="12"/>
  <c r="A90" i="13" s="1"/>
  <c r="H82" i="8"/>
  <c r="H24" i="10"/>
  <c r="J47" i="7"/>
  <c r="G47" i="8"/>
  <c r="K47" i="7"/>
  <c r="Y66" i="13"/>
  <c r="Y66" i="19"/>
  <c r="Z12" i="19"/>
  <c r="Z12" i="13"/>
  <c r="V55" i="19"/>
  <c r="V55" i="13"/>
  <c r="K27" i="10"/>
  <c r="I26" i="13" s="1"/>
  <c r="G27" i="11"/>
  <c r="J19" i="8"/>
  <c r="G19" i="9"/>
  <c r="K19" i="8"/>
  <c r="G93" i="8"/>
  <c r="K93" i="7"/>
  <c r="J93" i="7"/>
  <c r="Z36" i="19"/>
  <c r="Z36" i="13"/>
  <c r="G9" i="10"/>
  <c r="K9" i="9"/>
  <c r="Z8" i="19"/>
  <c r="Z8" i="13"/>
  <c r="G89" i="10"/>
  <c r="K89" i="9"/>
  <c r="H45" i="11"/>
  <c r="G67" i="8"/>
  <c r="K67" i="7"/>
  <c r="J67" i="7"/>
  <c r="Y12" i="13"/>
  <c r="Y12" i="19"/>
  <c r="G56" i="9"/>
  <c r="K56" i="8"/>
  <c r="J56" i="8"/>
  <c r="Y46" i="19"/>
  <c r="Y46" i="13"/>
  <c r="Z66" i="19"/>
  <c r="Z66" i="13"/>
  <c r="H35" i="7"/>
  <c r="AO106" i="19"/>
  <c r="AO116" i="19" s="1"/>
  <c r="AO110" i="19"/>
  <c r="AO120" i="19" s="1"/>
  <c r="AO108" i="19"/>
  <c r="AO118" i="19" s="1"/>
  <c r="AO107" i="19"/>
  <c r="AO117" i="19" s="1"/>
  <c r="AO109" i="19"/>
  <c r="AO119" i="19" s="1"/>
  <c r="AP106" i="19"/>
  <c r="AP116" i="19" s="1"/>
  <c r="AP109" i="19"/>
  <c r="AP119" i="19" s="1"/>
  <c r="AP107" i="19"/>
  <c r="AP117" i="19" s="1"/>
  <c r="AP108" i="19"/>
  <c r="AP118" i="19" s="1"/>
  <c r="AP110" i="19"/>
  <c r="AP120" i="19" s="1"/>
  <c r="Z92" i="19" l="1"/>
  <c r="U18" i="19"/>
  <c r="J36" i="7"/>
  <c r="V35" i="13" s="1"/>
  <c r="V18" i="19"/>
  <c r="Y35" i="19"/>
  <c r="K36" i="7"/>
  <c r="U35" i="13" s="1"/>
  <c r="Y42" i="19"/>
  <c r="AC35" i="13"/>
  <c r="I18" i="20"/>
  <c r="G57" i="8"/>
  <c r="K57" i="8" s="1"/>
  <c r="U70" i="13"/>
  <c r="AC38" i="19"/>
  <c r="Y92" i="13"/>
  <c r="AL107" i="19"/>
  <c r="AL117" i="19" s="1"/>
  <c r="Y56" i="19"/>
  <c r="K79" i="8"/>
  <c r="Q78" i="13" s="1"/>
  <c r="K77" i="8"/>
  <c r="Q76" i="13" s="1"/>
  <c r="K43" i="7"/>
  <c r="U42" i="19" s="1"/>
  <c r="G43" i="8"/>
  <c r="J43" i="8" s="1"/>
  <c r="K57" i="7"/>
  <c r="U56" i="13" s="1"/>
  <c r="Y38" i="13"/>
  <c r="Y38" i="19"/>
  <c r="Z38" i="13"/>
  <c r="Z38" i="19"/>
  <c r="AL106" i="19"/>
  <c r="AL116" i="19" s="1"/>
  <c r="G39" i="8"/>
  <c r="J39" i="7"/>
  <c r="K39" i="7"/>
  <c r="AL110" i="19"/>
  <c r="AL120" i="19" s="1"/>
  <c r="AH103" i="19"/>
  <c r="AH113" i="19" s="1"/>
  <c r="AH102" i="19"/>
  <c r="AH112" i="19" s="1"/>
  <c r="J82" i="7"/>
  <c r="V81" i="13" s="1"/>
  <c r="AL109" i="19"/>
  <c r="AL119" i="19" s="1"/>
  <c r="Y13" i="13"/>
  <c r="Y13" i="19"/>
  <c r="G14" i="8"/>
  <c r="K14" i="7"/>
  <c r="Q20" i="15"/>
  <c r="R20" i="15" s="1"/>
  <c r="Q13" i="15"/>
  <c r="R13" i="15" s="1"/>
  <c r="Q26" i="15"/>
  <c r="R26" i="15" s="1"/>
  <c r="Q4" i="15"/>
  <c r="R4" i="15" s="1"/>
  <c r="Q6" i="15"/>
  <c r="R6" i="15" s="1"/>
  <c r="Q25" i="15"/>
  <c r="R25" i="15" s="1"/>
  <c r="Q21" i="15"/>
  <c r="R21" i="15" s="1"/>
  <c r="Q15" i="15"/>
  <c r="R15" i="15" s="1"/>
  <c r="Q19" i="15"/>
  <c r="R19" i="15" s="1"/>
  <c r="Q5" i="15"/>
  <c r="R5" i="15" s="1"/>
  <c r="Q10" i="15"/>
  <c r="R10" i="15" s="1"/>
  <c r="Q11" i="15"/>
  <c r="R11" i="15" s="1"/>
  <c r="Q22" i="15"/>
  <c r="R22" i="15" s="1"/>
  <c r="Q16" i="15"/>
  <c r="R16" i="15" s="1"/>
  <c r="Q12" i="15"/>
  <c r="R12" i="15" s="1"/>
  <c r="Q24" i="15"/>
  <c r="R24" i="15" s="1"/>
  <c r="Q23" i="15"/>
  <c r="R23" i="15" s="1"/>
  <c r="AG104" i="19"/>
  <c r="AG114" i="19" s="1"/>
  <c r="AG101" i="19"/>
  <c r="AG111" i="19" s="1"/>
  <c r="AG105" i="19"/>
  <c r="AG115" i="19" s="1"/>
  <c r="AG103" i="19"/>
  <c r="AG113" i="19" s="1"/>
  <c r="AG102" i="19"/>
  <c r="AG112" i="19" s="1"/>
  <c r="K82" i="7"/>
  <c r="U81" i="19" s="1"/>
  <c r="AD31" i="13"/>
  <c r="AD31" i="19"/>
  <c r="Q7" i="15"/>
  <c r="R7" i="15" s="1"/>
  <c r="G60" i="7"/>
  <c r="J60" i="6"/>
  <c r="Z59" i="13" s="1"/>
  <c r="K60" i="6"/>
  <c r="Y59" i="13" s="1"/>
  <c r="K50" i="6"/>
  <c r="J50" i="6"/>
  <c r="G50" i="7"/>
  <c r="AC31" i="19"/>
  <c r="AC31" i="13"/>
  <c r="Q17" i="15"/>
  <c r="R17" i="15" s="1"/>
  <c r="AH100" i="19"/>
  <c r="AH110" i="19" s="1"/>
  <c r="AH120" i="19" s="1"/>
  <c r="Q9" i="15"/>
  <c r="R9" i="15" s="1"/>
  <c r="Q14" i="15"/>
  <c r="R14" i="15" s="1"/>
  <c r="AD49" i="19"/>
  <c r="AD49" i="13"/>
  <c r="AH105" i="19"/>
  <c r="AH115" i="19" s="1"/>
  <c r="AH104" i="19"/>
  <c r="AH114" i="19" s="1"/>
  <c r="H91" i="7"/>
  <c r="J91" i="6"/>
  <c r="Z90" i="13" s="1"/>
  <c r="G32" i="7"/>
  <c r="K32" i="6"/>
  <c r="J32" i="6"/>
  <c r="AH101" i="19"/>
  <c r="AH111" i="19" s="1"/>
  <c r="Q8" i="15"/>
  <c r="R8" i="15" s="1"/>
  <c r="AC49" i="13"/>
  <c r="AC49" i="19"/>
  <c r="Q18" i="15"/>
  <c r="R18" i="15" s="1"/>
  <c r="G38" i="7"/>
  <c r="K38" i="6"/>
  <c r="J38" i="6"/>
  <c r="G21" i="7"/>
  <c r="K21" i="6"/>
  <c r="Y20" i="13" s="1"/>
  <c r="AD41" i="19"/>
  <c r="AD41" i="13"/>
  <c r="G70" i="7"/>
  <c r="K70" i="6"/>
  <c r="J70" i="6"/>
  <c r="AD14" i="13"/>
  <c r="AD14" i="19"/>
  <c r="AD53" i="13"/>
  <c r="AD53" i="19"/>
  <c r="J74" i="6"/>
  <c r="K74" i="6"/>
  <c r="G74" i="7"/>
  <c r="Y86" i="19"/>
  <c r="Y86" i="13"/>
  <c r="G75" i="7"/>
  <c r="J75" i="6"/>
  <c r="K75" i="6"/>
  <c r="G23" i="9"/>
  <c r="K23" i="8"/>
  <c r="K22" i="6"/>
  <c r="G22" i="7"/>
  <c r="J22" i="6"/>
  <c r="AD64" i="19"/>
  <c r="AD64" i="13"/>
  <c r="AD80" i="19"/>
  <c r="AD80" i="13"/>
  <c r="J68" i="6"/>
  <c r="K68" i="6"/>
  <c r="G68" i="7"/>
  <c r="AD83" i="13"/>
  <c r="AD83" i="19"/>
  <c r="AC11" i="19"/>
  <c r="AC11" i="13"/>
  <c r="AD45" i="19"/>
  <c r="AD45" i="13"/>
  <c r="G17" i="7"/>
  <c r="K17" i="6"/>
  <c r="J17" i="6"/>
  <c r="Y61" i="13"/>
  <c r="Y61" i="19"/>
  <c r="AD54" i="19"/>
  <c r="AD54" i="13"/>
  <c r="AD40" i="13"/>
  <c r="AD40" i="19"/>
  <c r="AC44" i="19"/>
  <c r="AC44" i="13"/>
  <c r="AG100" i="19"/>
  <c r="AD62" i="13"/>
  <c r="AD62" i="19"/>
  <c r="AD79" i="19"/>
  <c r="AD79" i="13"/>
  <c r="AD39" i="13"/>
  <c r="AD39" i="19"/>
  <c r="AD43" i="19"/>
  <c r="AD43" i="13"/>
  <c r="J85" i="6"/>
  <c r="G85" i="7"/>
  <c r="K85" i="6"/>
  <c r="AC71" i="13"/>
  <c r="AC71" i="19"/>
  <c r="AD29" i="19"/>
  <c r="AD29" i="13"/>
  <c r="AD37" i="13"/>
  <c r="AD37" i="19"/>
  <c r="AD48" i="19"/>
  <c r="AD48" i="13"/>
  <c r="AC69" i="13"/>
  <c r="AC69" i="19"/>
  <c r="K15" i="6"/>
  <c r="G15" i="7"/>
  <c r="J15" i="6"/>
  <c r="J54" i="6"/>
  <c r="G54" i="7"/>
  <c r="K54" i="6"/>
  <c r="G35" i="7"/>
  <c r="J35" i="7" s="1"/>
  <c r="V34" i="13" s="1"/>
  <c r="K35" i="6"/>
  <c r="Y34" i="13" s="1"/>
  <c r="AD73" i="13"/>
  <c r="AD73" i="19"/>
  <c r="J87" i="7"/>
  <c r="G87" i="8"/>
  <c r="K87" i="7"/>
  <c r="AC15" i="19"/>
  <c r="AC15" i="13"/>
  <c r="AC64" i="13"/>
  <c r="AC64" i="19"/>
  <c r="AC80" i="13"/>
  <c r="AC80" i="19"/>
  <c r="AD17" i="19"/>
  <c r="AD17" i="13"/>
  <c r="AC67" i="19"/>
  <c r="AC67" i="13"/>
  <c r="J69" i="6"/>
  <c r="G69" i="7"/>
  <c r="K69" i="6"/>
  <c r="G48" i="7"/>
  <c r="K48" i="6"/>
  <c r="J48" i="6"/>
  <c r="G12" i="7"/>
  <c r="K12" i="6"/>
  <c r="J12" i="6"/>
  <c r="AC45" i="13"/>
  <c r="AC45" i="19"/>
  <c r="AC23" i="13"/>
  <c r="AC23" i="19"/>
  <c r="AC91" i="13"/>
  <c r="AC91" i="19"/>
  <c r="K62" i="7"/>
  <c r="J62" i="7"/>
  <c r="G62" i="8"/>
  <c r="AC87" i="13"/>
  <c r="AC87" i="19"/>
  <c r="AC40" i="13"/>
  <c r="AC40" i="19"/>
  <c r="AC58" i="19"/>
  <c r="AC58" i="13"/>
  <c r="J45" i="6"/>
  <c r="G45" i="7"/>
  <c r="K45" i="6"/>
  <c r="G63" i="7"/>
  <c r="K63" i="6"/>
  <c r="J63" i="6"/>
  <c r="AD75" i="19"/>
  <c r="AD75" i="13"/>
  <c r="J51" i="6"/>
  <c r="K51" i="6"/>
  <c r="G51" i="7"/>
  <c r="G44" i="7"/>
  <c r="K44" i="6"/>
  <c r="J44" i="6"/>
  <c r="K8" i="6"/>
  <c r="Y7" i="13" s="1"/>
  <c r="J8" i="6"/>
  <c r="Z7" i="13" s="1"/>
  <c r="G8" i="7"/>
  <c r="G72" i="7"/>
  <c r="J72" i="6"/>
  <c r="K72" i="6"/>
  <c r="AD85" i="19"/>
  <c r="AD85" i="13"/>
  <c r="K30" i="6"/>
  <c r="J30" i="6"/>
  <c r="G30" i="7"/>
  <c r="AC37" i="13"/>
  <c r="AC37" i="19"/>
  <c r="J49" i="6"/>
  <c r="K49" i="6"/>
  <c r="G49" i="7"/>
  <c r="K42" i="6"/>
  <c r="J42" i="6"/>
  <c r="G42" i="7"/>
  <c r="AC14" i="19"/>
  <c r="AC14" i="13"/>
  <c r="G64" i="10"/>
  <c r="K64" i="9"/>
  <c r="AC73" i="13"/>
  <c r="AC73" i="19"/>
  <c r="AC74" i="19"/>
  <c r="AC74" i="13"/>
  <c r="G83" i="7"/>
  <c r="J83" i="6"/>
  <c r="Z82" i="13" s="1"/>
  <c r="K83" i="6"/>
  <c r="Y82" i="13" s="1"/>
  <c r="AD21" i="13"/>
  <c r="AD21" i="19"/>
  <c r="G16" i="7"/>
  <c r="J16" i="7" s="1"/>
  <c r="K16" i="6"/>
  <c r="K81" i="6"/>
  <c r="G81" i="7"/>
  <c r="J81" i="6"/>
  <c r="AC17" i="13"/>
  <c r="AC17" i="19"/>
  <c r="AD67" i="19"/>
  <c r="AD67" i="13"/>
  <c r="AC68" i="19"/>
  <c r="AC68" i="13"/>
  <c r="AC47" i="13"/>
  <c r="AC47" i="19"/>
  <c r="K84" i="6"/>
  <c r="J84" i="6"/>
  <c r="G84" i="7"/>
  <c r="H79" i="7"/>
  <c r="J79" i="6"/>
  <c r="Z78" i="13" s="1"/>
  <c r="G46" i="7"/>
  <c r="K46" i="6"/>
  <c r="J46" i="6"/>
  <c r="G24" i="7"/>
  <c r="K24" i="6"/>
  <c r="J24" i="6"/>
  <c r="AD16" i="13"/>
  <c r="AD16" i="19"/>
  <c r="G92" i="7"/>
  <c r="K92" i="6"/>
  <c r="J92" i="6"/>
  <c r="AK110" i="19"/>
  <c r="AK120" i="19" s="1"/>
  <c r="AK106" i="19"/>
  <c r="AK116" i="19" s="1"/>
  <c r="AK108" i="19"/>
  <c r="AK118" i="19" s="1"/>
  <c r="AK109" i="19"/>
  <c r="AK119" i="19" s="1"/>
  <c r="AK107" i="19"/>
  <c r="AK117" i="19" s="1"/>
  <c r="AC54" i="13"/>
  <c r="AC54" i="19"/>
  <c r="AD87" i="19"/>
  <c r="AD87" i="13"/>
  <c r="G41" i="7"/>
  <c r="K41" i="6"/>
  <c r="J41" i="6"/>
  <c r="G59" i="7"/>
  <c r="J59" i="6"/>
  <c r="K59" i="6"/>
  <c r="AD44" i="19"/>
  <c r="AD44" i="13"/>
  <c r="G80" i="7"/>
  <c r="J80" i="6"/>
  <c r="K80" i="6"/>
  <c r="AC75" i="19"/>
  <c r="AC75" i="13"/>
  <c r="G40" i="7"/>
  <c r="K40" i="6"/>
  <c r="J40" i="6"/>
  <c r="AC50" i="19"/>
  <c r="AC50" i="13"/>
  <c r="AC43" i="13"/>
  <c r="AC43" i="19"/>
  <c r="AD84" i="13"/>
  <c r="AD84" i="19"/>
  <c r="J96" i="6"/>
  <c r="Z95" i="13" s="1"/>
  <c r="G96" i="7"/>
  <c r="K96" i="6"/>
  <c r="Y95" i="13" s="1"/>
  <c r="AC85" i="19"/>
  <c r="AC85" i="13"/>
  <c r="J25" i="6"/>
  <c r="Z24" i="13" s="1"/>
  <c r="K25" i="6"/>
  <c r="Y24" i="13" s="1"/>
  <c r="G25" i="7"/>
  <c r="AC48" i="13"/>
  <c r="AC48" i="19"/>
  <c r="AC41" i="13"/>
  <c r="AC41" i="19"/>
  <c r="AD69" i="13"/>
  <c r="AD69" i="19"/>
  <c r="AC53" i="19"/>
  <c r="AC53" i="13"/>
  <c r="Q63" i="13"/>
  <c r="Q63" i="19"/>
  <c r="Z86" i="13"/>
  <c r="Z86" i="19"/>
  <c r="AD74" i="13"/>
  <c r="AD74" i="19"/>
  <c r="U22" i="13"/>
  <c r="U22" i="19"/>
  <c r="J94" i="6"/>
  <c r="Z93" i="13" s="1"/>
  <c r="G94" i="7"/>
  <c r="K94" i="6"/>
  <c r="Y93" i="13" s="1"/>
  <c r="AC21" i="19"/>
  <c r="AC21" i="13"/>
  <c r="K65" i="6"/>
  <c r="J65" i="6"/>
  <c r="G65" i="7"/>
  <c r="G18" i="7"/>
  <c r="K18" i="6"/>
  <c r="J18" i="6"/>
  <c r="AD47" i="13"/>
  <c r="AD47" i="19"/>
  <c r="AC83" i="13"/>
  <c r="AC83" i="19"/>
  <c r="G6" i="7"/>
  <c r="K6" i="6"/>
  <c r="Y5" i="13" s="1"/>
  <c r="AD11" i="19"/>
  <c r="AD11" i="13"/>
  <c r="AD23" i="13"/>
  <c r="AD23" i="19"/>
  <c r="AC16" i="13"/>
  <c r="AC16" i="19"/>
  <c r="AD91" i="19"/>
  <c r="AD91" i="13"/>
  <c r="Z61" i="13"/>
  <c r="Z61" i="19"/>
  <c r="G55" i="7"/>
  <c r="K55" i="6"/>
  <c r="J55" i="6"/>
  <c r="K88" i="6"/>
  <c r="J88" i="6"/>
  <c r="G88" i="7"/>
  <c r="AD58" i="13"/>
  <c r="AD58" i="19"/>
  <c r="AC62" i="19"/>
  <c r="AC62" i="13"/>
  <c r="AC79" i="13"/>
  <c r="AC79" i="19"/>
  <c r="G76" i="7"/>
  <c r="J76" i="6"/>
  <c r="K76" i="6"/>
  <c r="AC39" i="13"/>
  <c r="AC39" i="19"/>
  <c r="AD50" i="13"/>
  <c r="AD50" i="19"/>
  <c r="AC84" i="13"/>
  <c r="AC84" i="19"/>
  <c r="AD71" i="19"/>
  <c r="AD71" i="13"/>
  <c r="K86" i="6"/>
  <c r="G86" i="7"/>
  <c r="J86" i="6"/>
  <c r="AC29" i="19"/>
  <c r="AC29" i="13"/>
  <c r="G82" i="9"/>
  <c r="K82" i="8"/>
  <c r="G31" i="9"/>
  <c r="J31" i="8"/>
  <c r="K31" i="8"/>
  <c r="U30" i="19"/>
  <c r="U30" i="13"/>
  <c r="G53" i="9"/>
  <c r="K53" i="8"/>
  <c r="Q52" i="13" s="1"/>
  <c r="J53" i="8"/>
  <c r="R52" i="13" s="1"/>
  <c r="V30" i="13"/>
  <c r="V30" i="19"/>
  <c r="V42" i="13"/>
  <c r="V42" i="19"/>
  <c r="H16" i="8"/>
  <c r="H6" i="6"/>
  <c r="J6" i="5"/>
  <c r="AD5" i="13" s="1"/>
  <c r="H10" i="8"/>
  <c r="J10" i="7"/>
  <c r="H21" i="7"/>
  <c r="J21" i="6"/>
  <c r="Z20" i="13" s="1"/>
  <c r="U27" i="19"/>
  <c r="U27" i="13"/>
  <c r="V22" i="13"/>
  <c r="V22" i="19"/>
  <c r="H89" i="9"/>
  <c r="J89" i="8"/>
  <c r="U28" i="13"/>
  <c r="U28" i="19"/>
  <c r="Q70" i="13"/>
  <c r="Q70" i="19"/>
  <c r="G57" i="9"/>
  <c r="K10" i="11"/>
  <c r="G10" i="12"/>
  <c r="K10" i="12" s="1"/>
  <c r="G28" i="9"/>
  <c r="J28" i="8"/>
  <c r="K28" i="8"/>
  <c r="H23" i="9"/>
  <c r="J23" i="8"/>
  <c r="H5" i="5"/>
  <c r="J5" i="4"/>
  <c r="AH4" i="13" s="1"/>
  <c r="Z63" i="19"/>
  <c r="Z63" i="13"/>
  <c r="H77" i="7"/>
  <c r="J77" i="6"/>
  <c r="Z76" i="13" s="1"/>
  <c r="H86" i="9"/>
  <c r="Z13" i="19"/>
  <c r="Z13" i="13"/>
  <c r="V57" i="19"/>
  <c r="V57" i="13"/>
  <c r="V28" i="13"/>
  <c r="V28" i="19"/>
  <c r="H27" i="7"/>
  <c r="J27" i="6"/>
  <c r="Z26" i="13" s="1"/>
  <c r="R70" i="19"/>
  <c r="R70" i="13"/>
  <c r="V56" i="19"/>
  <c r="V56" i="13"/>
  <c r="V27" i="13"/>
  <c r="V27" i="19"/>
  <c r="V88" i="13"/>
  <c r="V88" i="19"/>
  <c r="K58" i="8"/>
  <c r="G58" i="9"/>
  <c r="J58" i="8"/>
  <c r="AA10" i="15"/>
  <c r="AB10" i="15" s="1"/>
  <c r="AA17" i="15"/>
  <c r="AB17" i="15" s="1"/>
  <c r="AA11" i="15"/>
  <c r="AB11" i="15" s="1"/>
  <c r="AA5" i="15"/>
  <c r="AB5" i="15" s="1"/>
  <c r="AA15" i="15"/>
  <c r="AB15" i="15" s="1"/>
  <c r="AA9" i="15"/>
  <c r="AB9" i="15" s="1"/>
  <c r="AA16" i="15"/>
  <c r="AB16" i="15" s="1"/>
  <c r="AA7" i="15"/>
  <c r="AB7" i="15" s="1"/>
  <c r="AA14" i="15"/>
  <c r="AB14" i="15" s="1"/>
  <c r="AA8" i="15"/>
  <c r="AB8" i="15" s="1"/>
  <c r="AA4" i="15"/>
  <c r="AB4" i="15" s="1"/>
  <c r="AA12" i="15"/>
  <c r="AB12" i="15" s="1"/>
  <c r="AA6" i="15"/>
  <c r="AB6" i="15" s="1"/>
  <c r="AA13" i="15"/>
  <c r="AB13" i="15" s="1"/>
  <c r="G71" i="10"/>
  <c r="K71" i="9"/>
  <c r="J71" i="9"/>
  <c r="G33" i="9"/>
  <c r="K33" i="8"/>
  <c r="Q32" i="13" s="1"/>
  <c r="J33" i="8"/>
  <c r="R32" i="13" s="1"/>
  <c r="Z15" i="13"/>
  <c r="Z15" i="19"/>
  <c r="I9" i="19"/>
  <c r="I9" i="13"/>
  <c r="H64" i="8"/>
  <c r="J64" i="7"/>
  <c r="G5" i="11"/>
  <c r="K5" i="10"/>
  <c r="I4" i="13" s="1"/>
  <c r="Z9" i="19"/>
  <c r="Z9" i="13"/>
  <c r="H14" i="8"/>
  <c r="J14" i="7"/>
  <c r="U57" i="19"/>
  <c r="U57" i="13"/>
  <c r="K29" i="8"/>
  <c r="G29" i="9"/>
  <c r="J29" i="8"/>
  <c r="G36" i="9"/>
  <c r="J36" i="8"/>
  <c r="K36" i="8"/>
  <c r="R55" i="13"/>
  <c r="R55" i="19"/>
  <c r="U66" i="13"/>
  <c r="U66" i="19"/>
  <c r="J93" i="8"/>
  <c r="G93" i="9"/>
  <c r="K93" i="8"/>
  <c r="Q18" i="13"/>
  <c r="Q18" i="19"/>
  <c r="K27" i="11"/>
  <c r="E26" i="13" s="1"/>
  <c r="G27" i="12"/>
  <c r="K11" i="8"/>
  <c r="G11" i="9"/>
  <c r="J11" i="8"/>
  <c r="U72" i="19"/>
  <c r="U72" i="13"/>
  <c r="V12" i="19"/>
  <c r="V12" i="13"/>
  <c r="V8" i="19"/>
  <c r="V8" i="13"/>
  <c r="K79" i="9"/>
  <c r="M78" i="13" s="1"/>
  <c r="G79" i="10"/>
  <c r="Q55" i="19"/>
  <c r="Q55" i="13"/>
  <c r="G67" i="9"/>
  <c r="K67" i="8"/>
  <c r="J67" i="8"/>
  <c r="M88" i="19"/>
  <c r="M88" i="13"/>
  <c r="G19" i="10"/>
  <c r="K19" i="9"/>
  <c r="J19" i="9"/>
  <c r="U46" i="19"/>
  <c r="U46" i="13"/>
  <c r="V36" i="19"/>
  <c r="V36" i="13"/>
  <c r="U12" i="19"/>
  <c r="U12" i="13"/>
  <c r="H9" i="9"/>
  <c r="J9" i="8"/>
  <c r="U35" i="19"/>
  <c r="K56" i="9"/>
  <c r="G56" i="10"/>
  <c r="J56" i="9"/>
  <c r="H45" i="12"/>
  <c r="K89" i="10"/>
  <c r="G89" i="11"/>
  <c r="M8" i="13"/>
  <c r="M8" i="19"/>
  <c r="V92" i="13"/>
  <c r="V92" i="19"/>
  <c r="R18" i="19"/>
  <c r="R18" i="13"/>
  <c r="G47" i="9"/>
  <c r="J47" i="8"/>
  <c r="K47" i="8"/>
  <c r="H24" i="11"/>
  <c r="H82" i="9"/>
  <c r="J82" i="8"/>
  <c r="V10" i="13"/>
  <c r="V10" i="19"/>
  <c r="V72" i="13"/>
  <c r="V72" i="19"/>
  <c r="U36" i="19"/>
  <c r="U36" i="13"/>
  <c r="G77" i="10"/>
  <c r="K77" i="9"/>
  <c r="M76" i="13" s="1"/>
  <c r="G13" i="9"/>
  <c r="K13" i="8"/>
  <c r="J13" i="8"/>
  <c r="V66" i="13"/>
  <c r="V66" i="19"/>
  <c r="K9" i="10"/>
  <c r="G9" i="11"/>
  <c r="U92" i="19"/>
  <c r="U92" i="13"/>
  <c r="V46" i="19"/>
  <c r="V46" i="13"/>
  <c r="U10" i="13"/>
  <c r="U10" i="19"/>
  <c r="G73" i="9"/>
  <c r="J73" i="8"/>
  <c r="K73" i="8"/>
  <c r="G37" i="9"/>
  <c r="J37" i="8"/>
  <c r="K37" i="8"/>
  <c r="V35" i="19"/>
  <c r="H35" i="8"/>
  <c r="J57" i="8" l="1"/>
  <c r="I19" i="20"/>
  <c r="U42" i="13"/>
  <c r="U56" i="19"/>
  <c r="U81" i="13"/>
  <c r="K43" i="8"/>
  <c r="Q42" i="19" s="1"/>
  <c r="G43" i="9"/>
  <c r="G43" i="10" s="1"/>
  <c r="AH109" i="19"/>
  <c r="AH119" i="19" s="1"/>
  <c r="AH106" i="19"/>
  <c r="AH116" i="19" s="1"/>
  <c r="K39" i="8"/>
  <c r="G39" i="9"/>
  <c r="J39" i="8"/>
  <c r="V38" i="19"/>
  <c r="V38" i="13"/>
  <c r="U38" i="19"/>
  <c r="U38" i="13"/>
  <c r="AD104" i="19"/>
  <c r="AD114" i="19" s="1"/>
  <c r="V81" i="19"/>
  <c r="AD105" i="19"/>
  <c r="AD115" i="19" s="1"/>
  <c r="I20" i="15"/>
  <c r="J20" i="15" s="1"/>
  <c r="G14" i="9"/>
  <c r="K14" i="8"/>
  <c r="U13" i="19"/>
  <c r="U13" i="13"/>
  <c r="I17" i="15"/>
  <c r="J17" i="15" s="1"/>
  <c r="Z49" i="19"/>
  <c r="Z49" i="13"/>
  <c r="I8" i="15"/>
  <c r="J8" i="15" s="1"/>
  <c r="I7" i="15"/>
  <c r="J7" i="15" s="1"/>
  <c r="I18" i="15"/>
  <c r="J18" i="15" s="1"/>
  <c r="I4" i="15"/>
  <c r="J4" i="15" s="1"/>
  <c r="I23" i="15"/>
  <c r="J23" i="15" s="1"/>
  <c r="I11" i="15"/>
  <c r="J11" i="15" s="1"/>
  <c r="I21" i="15"/>
  <c r="J21" i="15" s="1"/>
  <c r="Y49" i="19"/>
  <c r="Y49" i="13"/>
  <c r="AD103" i="19"/>
  <c r="AD113" i="19" s="1"/>
  <c r="AH108" i="19"/>
  <c r="AH118" i="19" s="1"/>
  <c r="AC104" i="19"/>
  <c r="AC114" i="19" s="1"/>
  <c r="AC101" i="19"/>
  <c r="AC111" i="19" s="1"/>
  <c r="AC102" i="19"/>
  <c r="AC112" i="19" s="1"/>
  <c r="AC105" i="19"/>
  <c r="AC115" i="19" s="1"/>
  <c r="AC103" i="19"/>
  <c r="AC113" i="19" s="1"/>
  <c r="Z31" i="13"/>
  <c r="Z31" i="19"/>
  <c r="H91" i="8"/>
  <c r="J91" i="7"/>
  <c r="V90" i="13" s="1"/>
  <c r="I19" i="15"/>
  <c r="J19" i="15" s="1"/>
  <c r="I6" i="15"/>
  <c r="J6" i="15" s="1"/>
  <c r="I14" i="15"/>
  <c r="J14" i="15" s="1"/>
  <c r="I13" i="15"/>
  <c r="J13" i="15" s="1"/>
  <c r="J32" i="7"/>
  <c r="G32" i="8"/>
  <c r="K32" i="7"/>
  <c r="J60" i="7"/>
  <c r="V59" i="13" s="1"/>
  <c r="G60" i="8"/>
  <c r="K60" i="7"/>
  <c r="U59" i="13" s="1"/>
  <c r="I16" i="15"/>
  <c r="J16" i="15" s="1"/>
  <c r="I10" i="15"/>
  <c r="J10" i="15" s="1"/>
  <c r="AD102" i="19"/>
  <c r="AD112" i="19" s="1"/>
  <c r="AH107" i="19"/>
  <c r="AH117" i="19" s="1"/>
  <c r="AD100" i="19"/>
  <c r="AD109" i="19" s="1"/>
  <c r="AD119" i="19" s="1"/>
  <c r="AD101" i="19"/>
  <c r="AD111" i="19" s="1"/>
  <c r="Y31" i="19"/>
  <c r="Y31" i="13"/>
  <c r="I22" i="15"/>
  <c r="J22" i="15" s="1"/>
  <c r="I15" i="15"/>
  <c r="J15" i="15" s="1"/>
  <c r="J50" i="7"/>
  <c r="K50" i="7"/>
  <c r="G50" i="8"/>
  <c r="I9" i="15"/>
  <c r="J9" i="15" s="1"/>
  <c r="I12" i="15"/>
  <c r="J12" i="15" s="1"/>
  <c r="I5" i="15"/>
  <c r="J5" i="15" s="1"/>
  <c r="K86" i="7"/>
  <c r="G86" i="8"/>
  <c r="J86" i="7"/>
  <c r="K76" i="7"/>
  <c r="G76" i="8"/>
  <c r="J76" i="7"/>
  <c r="Z87" i="19"/>
  <c r="Z87" i="13"/>
  <c r="J55" i="7"/>
  <c r="K55" i="7"/>
  <c r="G55" i="8"/>
  <c r="G6" i="8"/>
  <c r="K6" i="7"/>
  <c r="U5" i="13" s="1"/>
  <c r="K65" i="7"/>
  <c r="J65" i="7"/>
  <c r="G65" i="8"/>
  <c r="J25" i="7"/>
  <c r="V24" i="13" s="1"/>
  <c r="G25" i="8"/>
  <c r="K25" i="7"/>
  <c r="U24" i="13" s="1"/>
  <c r="J40" i="7"/>
  <c r="K40" i="7"/>
  <c r="G40" i="8"/>
  <c r="Z79" i="13"/>
  <c r="Z79" i="19"/>
  <c r="Y58" i="13"/>
  <c r="Y58" i="19"/>
  <c r="Y40" i="19"/>
  <c r="Y40" i="13"/>
  <c r="Y91" i="19"/>
  <c r="Y91" i="13"/>
  <c r="Z23" i="13"/>
  <c r="Z23" i="19"/>
  <c r="Y45" i="19"/>
  <c r="Y45" i="13"/>
  <c r="J84" i="7"/>
  <c r="G84" i="8"/>
  <c r="K84" i="7"/>
  <c r="G81" i="8"/>
  <c r="J81" i="7"/>
  <c r="K81" i="7"/>
  <c r="G83" i="8"/>
  <c r="K83" i="7"/>
  <c r="U82" i="13" s="1"/>
  <c r="J83" i="7"/>
  <c r="V82" i="13" s="1"/>
  <c r="J49" i="7"/>
  <c r="K49" i="7"/>
  <c r="G49" i="8"/>
  <c r="G72" i="8"/>
  <c r="J72" i="7"/>
  <c r="K72" i="7"/>
  <c r="Z43" i="19"/>
  <c r="Z43" i="13"/>
  <c r="Y50" i="19"/>
  <c r="Y50" i="13"/>
  <c r="Z62" i="13"/>
  <c r="Z62" i="19"/>
  <c r="G45" i="8"/>
  <c r="K45" i="7"/>
  <c r="J45" i="7"/>
  <c r="J62" i="8"/>
  <c r="K62" i="8"/>
  <c r="G62" i="9"/>
  <c r="Z47" i="19"/>
  <c r="Z47" i="13"/>
  <c r="J69" i="7"/>
  <c r="G69" i="8"/>
  <c r="K69" i="7"/>
  <c r="U86" i="19"/>
  <c r="U86" i="13"/>
  <c r="G54" i="8"/>
  <c r="J54" i="7"/>
  <c r="K54" i="7"/>
  <c r="Y14" i="13"/>
  <c r="Y14" i="19"/>
  <c r="K85" i="7"/>
  <c r="G85" i="8"/>
  <c r="J85" i="7"/>
  <c r="Y16" i="13"/>
  <c r="Y16" i="19"/>
  <c r="J68" i="7"/>
  <c r="G68" i="8"/>
  <c r="K68" i="7"/>
  <c r="K22" i="7"/>
  <c r="G22" i="8"/>
  <c r="J22" i="7"/>
  <c r="Y74" i="13"/>
  <c r="Y74" i="19"/>
  <c r="Z69" i="19"/>
  <c r="Z69" i="13"/>
  <c r="Y37" i="19"/>
  <c r="Y37" i="13"/>
  <c r="Y85" i="19"/>
  <c r="Y85" i="13"/>
  <c r="Y87" i="19"/>
  <c r="Y87" i="13"/>
  <c r="Z17" i="13"/>
  <c r="Z17" i="19"/>
  <c r="Z64" i="19"/>
  <c r="Z64" i="13"/>
  <c r="G80" i="8"/>
  <c r="J80" i="7"/>
  <c r="K80" i="7"/>
  <c r="Z58" i="19"/>
  <c r="Z58" i="13"/>
  <c r="K41" i="7"/>
  <c r="J41" i="7"/>
  <c r="G41" i="8"/>
  <c r="K92" i="7"/>
  <c r="G92" i="8"/>
  <c r="J92" i="7"/>
  <c r="Y23" i="13"/>
  <c r="Y23" i="19"/>
  <c r="G46" i="8"/>
  <c r="J46" i="7"/>
  <c r="K46" i="7"/>
  <c r="Z83" i="13"/>
  <c r="Z83" i="19"/>
  <c r="Y80" i="19"/>
  <c r="Y80" i="13"/>
  <c r="M63" i="19"/>
  <c r="M63" i="13"/>
  <c r="K42" i="7"/>
  <c r="G42" i="8"/>
  <c r="J42" i="7"/>
  <c r="Y48" i="13"/>
  <c r="Y48" i="19"/>
  <c r="G30" i="8"/>
  <c r="K30" i="7"/>
  <c r="J30" i="7"/>
  <c r="J8" i="7"/>
  <c r="V7" i="13" s="1"/>
  <c r="G8" i="8"/>
  <c r="K8" i="7"/>
  <c r="U7" i="13" s="1"/>
  <c r="Y43" i="19"/>
  <c r="Y43" i="13"/>
  <c r="Z50" i="13"/>
  <c r="Z50" i="19"/>
  <c r="Y62" i="13"/>
  <c r="Y62" i="19"/>
  <c r="Z44" i="13"/>
  <c r="Z44" i="19"/>
  <c r="V61" i="13"/>
  <c r="V61" i="19"/>
  <c r="Z11" i="13"/>
  <c r="Z11" i="19"/>
  <c r="Y47" i="13"/>
  <c r="Y47" i="19"/>
  <c r="Z68" i="19"/>
  <c r="Z68" i="13"/>
  <c r="J87" i="8"/>
  <c r="G87" i="9"/>
  <c r="K87" i="8"/>
  <c r="Z53" i="19"/>
  <c r="Z53" i="13"/>
  <c r="Z84" i="19"/>
  <c r="Z84" i="13"/>
  <c r="K17" i="7"/>
  <c r="G17" i="8"/>
  <c r="J17" i="7"/>
  <c r="AC100" i="19"/>
  <c r="Y67" i="13"/>
  <c r="Y67" i="19"/>
  <c r="Y21" i="13"/>
  <c r="Y21" i="19"/>
  <c r="Z74" i="19"/>
  <c r="Z74" i="13"/>
  <c r="K74" i="7"/>
  <c r="G74" i="8"/>
  <c r="J74" i="7"/>
  <c r="Y69" i="13"/>
  <c r="Y69" i="19"/>
  <c r="K38" i="7"/>
  <c r="J38" i="7"/>
  <c r="G38" i="8"/>
  <c r="Y75" i="19"/>
  <c r="Y75" i="13"/>
  <c r="Z54" i="19"/>
  <c r="Z54" i="13"/>
  <c r="Y17" i="13"/>
  <c r="Y17" i="19"/>
  <c r="Y64" i="13"/>
  <c r="Y64" i="19"/>
  <c r="K94" i="7"/>
  <c r="U93" i="13" s="1"/>
  <c r="G94" i="8"/>
  <c r="J94" i="7"/>
  <c r="V93" i="13" s="1"/>
  <c r="G96" i="8"/>
  <c r="K96" i="7"/>
  <c r="U95" i="13" s="1"/>
  <c r="J96" i="7"/>
  <c r="V95" i="13" s="1"/>
  <c r="Z39" i="19"/>
  <c r="Z39" i="13"/>
  <c r="K59" i="7"/>
  <c r="G59" i="8"/>
  <c r="J59" i="7"/>
  <c r="G24" i="8"/>
  <c r="K24" i="7"/>
  <c r="J24" i="7"/>
  <c r="Y83" i="19"/>
  <c r="Y83" i="13"/>
  <c r="Y15" i="19"/>
  <c r="Y15" i="13"/>
  <c r="G64" i="11"/>
  <c r="K64" i="10"/>
  <c r="Z41" i="19"/>
  <c r="Z41" i="13"/>
  <c r="Z48" i="19"/>
  <c r="Z48" i="13"/>
  <c r="Z29" i="13"/>
  <c r="Z29" i="19"/>
  <c r="Y71" i="13"/>
  <c r="Y71" i="19"/>
  <c r="G44" i="8"/>
  <c r="K44" i="7"/>
  <c r="J44" i="7"/>
  <c r="G63" i="8"/>
  <c r="K63" i="7"/>
  <c r="J63" i="7"/>
  <c r="U61" i="19"/>
  <c r="U61" i="13"/>
  <c r="Y11" i="13"/>
  <c r="Y11" i="19"/>
  <c r="K48" i="7"/>
  <c r="G48" i="8"/>
  <c r="J48" i="7"/>
  <c r="V86" i="19"/>
  <c r="V86" i="13"/>
  <c r="G35" i="8"/>
  <c r="J35" i="8" s="1"/>
  <c r="R34" i="13" s="1"/>
  <c r="K35" i="7"/>
  <c r="U34" i="13" s="1"/>
  <c r="Z14" i="19"/>
  <c r="Z14" i="13"/>
  <c r="AG106" i="19"/>
  <c r="AG116" i="19" s="1"/>
  <c r="AG110" i="19"/>
  <c r="AG120" i="19" s="1"/>
  <c r="AG107" i="19"/>
  <c r="AG117" i="19" s="1"/>
  <c r="AG108" i="19"/>
  <c r="AG118" i="19" s="1"/>
  <c r="AG109" i="19"/>
  <c r="AG119" i="19" s="1"/>
  <c r="Z67" i="19"/>
  <c r="Z67" i="13"/>
  <c r="Q22" i="13"/>
  <c r="Q22" i="19"/>
  <c r="G75" i="8"/>
  <c r="K75" i="7"/>
  <c r="J75" i="7"/>
  <c r="Y73" i="13"/>
  <c r="Y73" i="19"/>
  <c r="K70" i="7"/>
  <c r="J70" i="7"/>
  <c r="G70" i="8"/>
  <c r="G21" i="8"/>
  <c r="K21" i="7"/>
  <c r="U20" i="13" s="1"/>
  <c r="Z85" i="19"/>
  <c r="Z85" i="13"/>
  <c r="Z75" i="13"/>
  <c r="Z75" i="19"/>
  <c r="G88" i="8"/>
  <c r="K88" i="7"/>
  <c r="J88" i="7"/>
  <c r="Y54" i="19"/>
  <c r="Y54" i="13"/>
  <c r="J18" i="7"/>
  <c r="K18" i="7"/>
  <c r="G18" i="8"/>
  <c r="Y39" i="19"/>
  <c r="Y39" i="13"/>
  <c r="Y79" i="19"/>
  <c r="Y79" i="13"/>
  <c r="Z40" i="19"/>
  <c r="Z40" i="13"/>
  <c r="Z91" i="13"/>
  <c r="Z91" i="19"/>
  <c r="Z45" i="19"/>
  <c r="Z45" i="13"/>
  <c r="H79" i="8"/>
  <c r="J79" i="7"/>
  <c r="V78" i="13" s="1"/>
  <c r="Z80" i="13"/>
  <c r="Z80" i="19"/>
  <c r="G16" i="8"/>
  <c r="K16" i="7"/>
  <c r="Y41" i="13"/>
  <c r="Y41" i="19"/>
  <c r="Y29" i="19"/>
  <c r="Y29" i="13"/>
  <c r="Z71" i="13"/>
  <c r="Z71" i="19"/>
  <c r="K51" i="7"/>
  <c r="J51" i="7"/>
  <c r="G51" i="8"/>
  <c r="Y44" i="19"/>
  <c r="Y44" i="13"/>
  <c r="K12" i="7"/>
  <c r="J12" i="7"/>
  <c r="G12" i="8"/>
  <c r="Y68" i="19"/>
  <c r="Y68" i="13"/>
  <c r="Y53" i="13"/>
  <c r="Y53" i="19"/>
  <c r="J15" i="7"/>
  <c r="K15" i="7"/>
  <c r="G15" i="8"/>
  <c r="Y84" i="13"/>
  <c r="Y84" i="19"/>
  <c r="Z16" i="13"/>
  <c r="Z16" i="19"/>
  <c r="Z21" i="19"/>
  <c r="Z21" i="13"/>
  <c r="G23" i="10"/>
  <c r="K23" i="9"/>
  <c r="Z73" i="19"/>
  <c r="Z73" i="13"/>
  <c r="Z37" i="19"/>
  <c r="Z37" i="13"/>
  <c r="Q81" i="19"/>
  <c r="Q81" i="13"/>
  <c r="K82" i="9"/>
  <c r="G82" i="10"/>
  <c r="R30" i="19"/>
  <c r="R30" i="13"/>
  <c r="R42" i="19"/>
  <c r="R42" i="13"/>
  <c r="J53" i="9"/>
  <c r="N52" i="13" s="1"/>
  <c r="G53" i="10"/>
  <c r="K53" i="9"/>
  <c r="M52" i="13" s="1"/>
  <c r="J31" i="9"/>
  <c r="G31" i="10"/>
  <c r="K31" i="9"/>
  <c r="Q30" i="19"/>
  <c r="Q30" i="13"/>
  <c r="S12" i="15"/>
  <c r="T12" i="15" s="1"/>
  <c r="S5" i="15"/>
  <c r="T5" i="15" s="1"/>
  <c r="S11" i="15"/>
  <c r="T11" i="15" s="1"/>
  <c r="S10" i="15"/>
  <c r="T10" i="15" s="1"/>
  <c r="S4" i="15"/>
  <c r="T4" i="15" s="1"/>
  <c r="S9" i="15"/>
  <c r="T9" i="15" s="1"/>
  <c r="S6" i="15"/>
  <c r="T6" i="15" s="1"/>
  <c r="S7" i="15"/>
  <c r="T7" i="15" s="1"/>
  <c r="S8" i="15"/>
  <c r="T8" i="15" s="1"/>
  <c r="Q27" i="19"/>
  <c r="Q27" i="13"/>
  <c r="E9" i="13"/>
  <c r="E9" i="19"/>
  <c r="V9" i="19"/>
  <c r="V9" i="13"/>
  <c r="H64" i="9"/>
  <c r="J64" i="8"/>
  <c r="N70" i="13"/>
  <c r="N70" i="19"/>
  <c r="G58" i="10"/>
  <c r="K58" i="9"/>
  <c r="J58" i="9"/>
  <c r="H27" i="8"/>
  <c r="J27" i="7"/>
  <c r="V26" i="13" s="1"/>
  <c r="H86" i="10"/>
  <c r="J5" i="5"/>
  <c r="AD4" i="13" s="1"/>
  <c r="H5" i="6"/>
  <c r="R27" i="13"/>
  <c r="R27" i="19"/>
  <c r="Q56" i="13"/>
  <c r="Q56" i="19"/>
  <c r="H89" i="10"/>
  <c r="J89" i="9"/>
  <c r="H10" i="9"/>
  <c r="J10" i="8"/>
  <c r="H6" i="7"/>
  <c r="J6" i="6"/>
  <c r="Z5" i="13" s="1"/>
  <c r="Q28" i="19"/>
  <c r="Q28" i="13"/>
  <c r="J33" i="9"/>
  <c r="N32" i="13" s="1"/>
  <c r="K33" i="9"/>
  <c r="M32" i="13" s="1"/>
  <c r="G33" i="10"/>
  <c r="M70" i="19"/>
  <c r="M70" i="13"/>
  <c r="Q57" i="19"/>
  <c r="Q57" i="13"/>
  <c r="H77" i="8"/>
  <c r="J77" i="7"/>
  <c r="V76" i="13" s="1"/>
  <c r="R22" i="19"/>
  <c r="R22" i="13"/>
  <c r="K28" i="9"/>
  <c r="G28" i="10"/>
  <c r="J28" i="9"/>
  <c r="R56" i="19"/>
  <c r="R56" i="13"/>
  <c r="V15" i="19"/>
  <c r="V15" i="13"/>
  <c r="R28" i="19"/>
  <c r="R28" i="13"/>
  <c r="H14" i="9"/>
  <c r="J14" i="8"/>
  <c r="V63" i="13"/>
  <c r="V63" i="19"/>
  <c r="R57" i="19"/>
  <c r="R57" i="13"/>
  <c r="R88" i="19"/>
  <c r="R88" i="13"/>
  <c r="G29" i="10"/>
  <c r="J29" i="9"/>
  <c r="K29" i="9"/>
  <c r="V13" i="19"/>
  <c r="V13" i="13"/>
  <c r="G5" i="12"/>
  <c r="K5" i="12" s="1"/>
  <c r="A4" i="13" s="1"/>
  <c r="K5" i="11"/>
  <c r="E4" i="13" s="1"/>
  <c r="G71" i="11"/>
  <c r="J71" i="10"/>
  <c r="K71" i="10"/>
  <c r="H23" i="10"/>
  <c r="J23" i="9"/>
  <c r="A9" i="19"/>
  <c r="A9" i="13"/>
  <c r="K57" i="9"/>
  <c r="G57" i="10"/>
  <c r="J57" i="9"/>
  <c r="H21" i="8"/>
  <c r="J21" i="7"/>
  <c r="V20" i="13" s="1"/>
  <c r="H16" i="9"/>
  <c r="G93" i="10"/>
  <c r="K93" i="9"/>
  <c r="J93" i="9"/>
  <c r="G36" i="10"/>
  <c r="K36" i="9"/>
  <c r="J36" i="9"/>
  <c r="Q36" i="19"/>
  <c r="Q36" i="13"/>
  <c r="R72" i="13"/>
  <c r="R72" i="19"/>
  <c r="H82" i="10"/>
  <c r="J82" i="9"/>
  <c r="Q46" i="19"/>
  <c r="Q46" i="13"/>
  <c r="M55" i="19"/>
  <c r="M55" i="13"/>
  <c r="R66" i="19"/>
  <c r="R66" i="13"/>
  <c r="Q10" i="19"/>
  <c r="Q10" i="13"/>
  <c r="Q35" i="19"/>
  <c r="Q35" i="13"/>
  <c r="R36" i="13"/>
  <c r="R36" i="19"/>
  <c r="K73" i="9"/>
  <c r="G73" i="10"/>
  <c r="J73" i="9"/>
  <c r="G9" i="12"/>
  <c r="K9" i="11"/>
  <c r="R12" i="13"/>
  <c r="R12" i="19"/>
  <c r="H24" i="12"/>
  <c r="R46" i="19"/>
  <c r="R46" i="13"/>
  <c r="I88" i="13"/>
  <c r="I88" i="19"/>
  <c r="R8" i="19"/>
  <c r="R8" i="13"/>
  <c r="N18" i="13"/>
  <c r="N18" i="19"/>
  <c r="Q66" i="19"/>
  <c r="Q66" i="13"/>
  <c r="G79" i="11"/>
  <c r="K79" i="10"/>
  <c r="I78" i="13" s="1"/>
  <c r="K27" i="12"/>
  <c r="A26" i="13" s="1"/>
  <c r="R92" i="19"/>
  <c r="R92" i="13"/>
  <c r="R35" i="13"/>
  <c r="R35" i="19"/>
  <c r="K37" i="9"/>
  <c r="J37" i="9"/>
  <c r="G37" i="10"/>
  <c r="I8" i="19"/>
  <c r="I8" i="13"/>
  <c r="Q12" i="19"/>
  <c r="Q12" i="13"/>
  <c r="G77" i="11"/>
  <c r="K77" i="10"/>
  <c r="I76" i="13" s="1"/>
  <c r="G47" i="10"/>
  <c r="K47" i="9"/>
  <c r="J47" i="9"/>
  <c r="N55" i="13"/>
  <c r="N55" i="19"/>
  <c r="H9" i="10"/>
  <c r="J9" i="9"/>
  <c r="M18" i="13"/>
  <c r="M18" i="19"/>
  <c r="G67" i="10"/>
  <c r="K67" i="9"/>
  <c r="J67" i="9"/>
  <c r="R10" i="13"/>
  <c r="R10" i="19"/>
  <c r="Q72" i="19"/>
  <c r="Q72" i="13"/>
  <c r="G13" i="10"/>
  <c r="K13" i="9"/>
  <c r="J13" i="9"/>
  <c r="R81" i="19"/>
  <c r="R81" i="13"/>
  <c r="G89" i="12"/>
  <c r="K89" i="11"/>
  <c r="K56" i="10"/>
  <c r="G56" i="11"/>
  <c r="J56" i="10"/>
  <c r="G19" i="11"/>
  <c r="K19" i="10"/>
  <c r="J19" i="10"/>
  <c r="G11" i="10"/>
  <c r="K11" i="9"/>
  <c r="J11" i="9"/>
  <c r="Q92" i="19"/>
  <c r="Q92" i="13"/>
  <c r="H35" i="9"/>
  <c r="I20" i="20" l="1"/>
  <c r="Q42" i="13"/>
  <c r="J43" i="9"/>
  <c r="N42" i="13" s="1"/>
  <c r="K43" i="9"/>
  <c r="M42" i="19" s="1"/>
  <c r="R38" i="13"/>
  <c r="R38" i="19"/>
  <c r="K39" i="9"/>
  <c r="J39" i="9"/>
  <c r="G39" i="10"/>
  <c r="Q38" i="13"/>
  <c r="Q38" i="19"/>
  <c r="Z102" i="19"/>
  <c r="Z112" i="19" s="1"/>
  <c r="A18" i="15"/>
  <c r="B18" i="15" s="1"/>
  <c r="Q13" i="13"/>
  <c r="Q13" i="19"/>
  <c r="K14" i="9"/>
  <c r="G14" i="10"/>
  <c r="AD108" i="19"/>
  <c r="AD118" i="19" s="1"/>
  <c r="J50" i="8"/>
  <c r="G50" i="9"/>
  <c r="K50" i="8"/>
  <c r="A7" i="15"/>
  <c r="B7" i="15" s="1"/>
  <c r="A21" i="15"/>
  <c r="B21" i="15" s="1"/>
  <c r="A13" i="15"/>
  <c r="B13" i="15" s="1"/>
  <c r="A9" i="15"/>
  <c r="B9" i="15" s="1"/>
  <c r="A16" i="15"/>
  <c r="B16" i="15" s="1"/>
  <c r="A11" i="15"/>
  <c r="B11" i="15" s="1"/>
  <c r="A22" i="15"/>
  <c r="B22" i="15" s="1"/>
  <c r="U49" i="19"/>
  <c r="U49" i="13"/>
  <c r="A8" i="15"/>
  <c r="B8" i="15" s="1"/>
  <c r="A19" i="15"/>
  <c r="B19" i="15" s="1"/>
  <c r="A12" i="15"/>
  <c r="B12" i="15" s="1"/>
  <c r="AD106" i="19"/>
  <c r="AD116" i="19" s="1"/>
  <c r="Z104" i="19"/>
  <c r="Z114" i="19" s="1"/>
  <c r="AD107" i="19"/>
  <c r="AD117" i="19" s="1"/>
  <c r="V49" i="13"/>
  <c r="V49" i="19"/>
  <c r="A5" i="15"/>
  <c r="B5" i="15" s="1"/>
  <c r="U31" i="19"/>
  <c r="U31" i="13"/>
  <c r="H91" i="9"/>
  <c r="J91" i="8"/>
  <c r="R90" i="13" s="1"/>
  <c r="A14" i="15"/>
  <c r="B14" i="15" s="1"/>
  <c r="A10" i="15"/>
  <c r="B10" i="15" s="1"/>
  <c r="Y104" i="19"/>
  <c r="Y114" i="19" s="1"/>
  <c r="Y102" i="19"/>
  <c r="Y112" i="19" s="1"/>
  <c r="Y101" i="19"/>
  <c r="Y111" i="19" s="1"/>
  <c r="Y103" i="19"/>
  <c r="Y113" i="19" s="1"/>
  <c r="Y105" i="19"/>
  <c r="Y115" i="19" s="1"/>
  <c r="A17" i="15"/>
  <c r="B17" i="15" s="1"/>
  <c r="J60" i="8"/>
  <c r="R59" i="13" s="1"/>
  <c r="K60" i="8"/>
  <c r="Q59" i="13" s="1"/>
  <c r="G60" i="9"/>
  <c r="V31" i="13"/>
  <c r="V31" i="19"/>
  <c r="Z103" i="19"/>
  <c r="Z113" i="19" s="1"/>
  <c r="Z105" i="19"/>
  <c r="Z115" i="19" s="1"/>
  <c r="AD110" i="19"/>
  <c r="AD120" i="19" s="1"/>
  <c r="A6" i="15"/>
  <c r="B6" i="15" s="1"/>
  <c r="Z101" i="19"/>
  <c r="Z111" i="19" s="1"/>
  <c r="Z100" i="19"/>
  <c r="Z108" i="19" s="1"/>
  <c r="Z118" i="19" s="1"/>
  <c r="A20" i="15"/>
  <c r="B20" i="15" s="1"/>
  <c r="J32" i="8"/>
  <c r="G32" i="9"/>
  <c r="K32" i="8"/>
  <c r="A15" i="15"/>
  <c r="B15" i="15" s="1"/>
  <c r="A4" i="15"/>
  <c r="B4" i="15" s="1"/>
  <c r="V14" i="13"/>
  <c r="V14" i="19"/>
  <c r="U50" i="13"/>
  <c r="U50" i="19"/>
  <c r="G16" i="9"/>
  <c r="J16" i="9" s="1"/>
  <c r="K16" i="8"/>
  <c r="H79" i="9"/>
  <c r="J79" i="8"/>
  <c r="R78" i="13" s="1"/>
  <c r="U17" i="19"/>
  <c r="U17" i="13"/>
  <c r="V87" i="19"/>
  <c r="V87" i="13"/>
  <c r="G21" i="9"/>
  <c r="K21" i="8"/>
  <c r="Q20" i="13" s="1"/>
  <c r="J75" i="8"/>
  <c r="K75" i="8"/>
  <c r="G75" i="9"/>
  <c r="V47" i="13"/>
  <c r="V47" i="19"/>
  <c r="U62" i="19"/>
  <c r="U62" i="13"/>
  <c r="G44" i="9"/>
  <c r="K44" i="8"/>
  <c r="J44" i="8"/>
  <c r="U23" i="19"/>
  <c r="U23" i="13"/>
  <c r="U58" i="19"/>
  <c r="U58" i="13"/>
  <c r="U73" i="19"/>
  <c r="U73" i="13"/>
  <c r="V16" i="13"/>
  <c r="V16" i="19"/>
  <c r="K87" i="9"/>
  <c r="J87" i="9"/>
  <c r="G87" i="10"/>
  <c r="U41" i="19"/>
  <c r="U41" i="13"/>
  <c r="V45" i="19"/>
  <c r="V45" i="13"/>
  <c r="V91" i="19"/>
  <c r="V91" i="13"/>
  <c r="V40" i="19"/>
  <c r="V40" i="13"/>
  <c r="U79" i="19"/>
  <c r="U79" i="13"/>
  <c r="U67" i="19"/>
  <c r="U67" i="13"/>
  <c r="J54" i="8"/>
  <c r="G54" i="9"/>
  <c r="K54" i="8"/>
  <c r="K69" i="8"/>
  <c r="G69" i="9"/>
  <c r="J69" i="8"/>
  <c r="K62" i="9"/>
  <c r="G62" i="10"/>
  <c r="J62" i="9"/>
  <c r="U44" i="19"/>
  <c r="U44" i="13"/>
  <c r="U71" i="19"/>
  <c r="U71" i="13"/>
  <c r="U48" i="19"/>
  <c r="U48" i="13"/>
  <c r="K83" i="8"/>
  <c r="Q82" i="13" s="1"/>
  <c r="J83" i="8"/>
  <c r="R82" i="13" s="1"/>
  <c r="G83" i="9"/>
  <c r="U83" i="13"/>
  <c r="U83" i="19"/>
  <c r="U39" i="19"/>
  <c r="U39" i="13"/>
  <c r="V54" i="13"/>
  <c r="V54" i="19"/>
  <c r="G76" i="9"/>
  <c r="K76" i="8"/>
  <c r="J76" i="8"/>
  <c r="U85" i="19"/>
  <c r="U85" i="13"/>
  <c r="G12" i="9"/>
  <c r="K12" i="8"/>
  <c r="J12" i="8"/>
  <c r="V17" i="19"/>
  <c r="V17" i="13"/>
  <c r="U87" i="19"/>
  <c r="U87" i="13"/>
  <c r="G70" i="9"/>
  <c r="K70" i="8"/>
  <c r="J70" i="8"/>
  <c r="K35" i="8"/>
  <c r="Q34" i="13" s="1"/>
  <c r="G35" i="9"/>
  <c r="J35" i="9" s="1"/>
  <c r="N34" i="13" s="1"/>
  <c r="G48" i="9"/>
  <c r="K48" i="8"/>
  <c r="J48" i="8"/>
  <c r="K63" i="8"/>
  <c r="J63" i="8"/>
  <c r="G63" i="9"/>
  <c r="I63" i="19"/>
  <c r="I63" i="13"/>
  <c r="G24" i="9"/>
  <c r="J24" i="8"/>
  <c r="K24" i="8"/>
  <c r="G96" i="9"/>
  <c r="J96" i="8"/>
  <c r="R95" i="13" s="1"/>
  <c r="K96" i="8"/>
  <c r="Q95" i="13" s="1"/>
  <c r="G38" i="9"/>
  <c r="J38" i="8"/>
  <c r="K38" i="8"/>
  <c r="J17" i="8"/>
  <c r="G17" i="9"/>
  <c r="K17" i="8"/>
  <c r="R86" i="13"/>
  <c r="R86" i="19"/>
  <c r="V29" i="13"/>
  <c r="V29" i="19"/>
  <c r="J46" i="8"/>
  <c r="K46" i="8"/>
  <c r="G46" i="9"/>
  <c r="J92" i="8"/>
  <c r="G92" i="9"/>
  <c r="K92" i="8"/>
  <c r="U40" i="19"/>
  <c r="U40" i="13"/>
  <c r="V79" i="13"/>
  <c r="V79" i="19"/>
  <c r="V21" i="19"/>
  <c r="V21" i="13"/>
  <c r="K68" i="8"/>
  <c r="G68" i="9"/>
  <c r="J68" i="8"/>
  <c r="V84" i="19"/>
  <c r="V84" i="13"/>
  <c r="V68" i="19"/>
  <c r="V68" i="13"/>
  <c r="Q61" i="13"/>
  <c r="Q61" i="19"/>
  <c r="K45" i="8"/>
  <c r="J45" i="8"/>
  <c r="G45" i="9"/>
  <c r="V71" i="19"/>
  <c r="V71" i="13"/>
  <c r="V48" i="13"/>
  <c r="V48" i="19"/>
  <c r="U80" i="13"/>
  <c r="U80" i="19"/>
  <c r="G84" i="9"/>
  <c r="K84" i="8"/>
  <c r="J84" i="8"/>
  <c r="V39" i="13"/>
  <c r="V39" i="19"/>
  <c r="G65" i="9"/>
  <c r="K65" i="8"/>
  <c r="J65" i="8"/>
  <c r="G6" i="9"/>
  <c r="K6" i="8"/>
  <c r="Q5" i="13" s="1"/>
  <c r="U75" i="13"/>
  <c r="U75" i="19"/>
  <c r="M22" i="13"/>
  <c r="M22" i="19"/>
  <c r="J15" i="8"/>
  <c r="K15" i="8"/>
  <c r="G15" i="9"/>
  <c r="V11" i="19"/>
  <c r="V11" i="13"/>
  <c r="K51" i="8"/>
  <c r="G51" i="9"/>
  <c r="J51" i="8"/>
  <c r="K88" i="8"/>
  <c r="J88" i="8"/>
  <c r="G88" i="9"/>
  <c r="V69" i="13"/>
  <c r="V69" i="19"/>
  <c r="V74" i="13"/>
  <c r="V74" i="19"/>
  <c r="U47" i="13"/>
  <c r="U47" i="19"/>
  <c r="V43" i="19"/>
  <c r="V43" i="13"/>
  <c r="G64" i="12"/>
  <c r="K64" i="12" s="1"/>
  <c r="K64" i="11"/>
  <c r="V58" i="13"/>
  <c r="V58" i="19"/>
  <c r="V37" i="19"/>
  <c r="V37" i="13"/>
  <c r="V73" i="19"/>
  <c r="V73" i="13"/>
  <c r="U16" i="13"/>
  <c r="U16" i="19"/>
  <c r="U29" i="13"/>
  <c r="U29" i="19"/>
  <c r="V41" i="13"/>
  <c r="V41" i="19"/>
  <c r="U91" i="19"/>
  <c r="U91" i="13"/>
  <c r="G80" i="9"/>
  <c r="J80" i="8"/>
  <c r="K80" i="8"/>
  <c r="G22" i="9"/>
  <c r="J22" i="8"/>
  <c r="K22" i="8"/>
  <c r="V67" i="13"/>
  <c r="V67" i="19"/>
  <c r="J85" i="8"/>
  <c r="K85" i="8"/>
  <c r="G85" i="9"/>
  <c r="U53" i="19"/>
  <c r="U53" i="13"/>
  <c r="R61" i="13"/>
  <c r="R61" i="19"/>
  <c r="K72" i="8"/>
  <c r="G72" i="9"/>
  <c r="J72" i="8"/>
  <c r="V80" i="13"/>
  <c r="V80" i="19"/>
  <c r="V83" i="13"/>
  <c r="V83" i="19"/>
  <c r="V64" i="13"/>
  <c r="V64" i="19"/>
  <c r="K55" i="8"/>
  <c r="J55" i="8"/>
  <c r="G55" i="9"/>
  <c r="V85" i="13"/>
  <c r="V85" i="19"/>
  <c r="J16" i="8"/>
  <c r="R15" i="19" s="1"/>
  <c r="G23" i="11"/>
  <c r="K23" i="10"/>
  <c r="U14" i="19"/>
  <c r="U14" i="13"/>
  <c r="U11" i="13"/>
  <c r="U11" i="19"/>
  <c r="V50" i="19"/>
  <c r="V50" i="13"/>
  <c r="U15" i="13"/>
  <c r="U15" i="19"/>
  <c r="G18" i="9"/>
  <c r="K18" i="8"/>
  <c r="J18" i="8"/>
  <c r="U69" i="13"/>
  <c r="U69" i="19"/>
  <c r="U74" i="19"/>
  <c r="U74" i="13"/>
  <c r="Y100" i="19"/>
  <c r="V62" i="19"/>
  <c r="V62" i="13"/>
  <c r="U43" i="19"/>
  <c r="U43" i="13"/>
  <c r="V23" i="13"/>
  <c r="V23" i="19"/>
  <c r="J59" i="8"/>
  <c r="G59" i="9"/>
  <c r="K59" i="8"/>
  <c r="J94" i="8"/>
  <c r="R93" i="13" s="1"/>
  <c r="G94" i="9"/>
  <c r="K94" i="8"/>
  <c r="Q93" i="13" s="1"/>
  <c r="U37" i="19"/>
  <c r="U37" i="13"/>
  <c r="J74" i="8"/>
  <c r="G74" i="9"/>
  <c r="K74" i="8"/>
  <c r="AC110" i="19"/>
  <c r="AC120" i="19" s="1"/>
  <c r="AC108" i="19"/>
  <c r="AC118" i="19" s="1"/>
  <c r="AC109" i="19"/>
  <c r="AC119" i="19" s="1"/>
  <c r="AC106" i="19"/>
  <c r="AC116" i="19" s="1"/>
  <c r="AC107" i="19"/>
  <c r="AC117" i="19" s="1"/>
  <c r="Q86" i="13"/>
  <c r="Q86" i="19"/>
  <c r="J8" i="8"/>
  <c r="R7" i="13" s="1"/>
  <c r="K8" i="8"/>
  <c r="Q7" i="13" s="1"/>
  <c r="G8" i="9"/>
  <c r="J30" i="8"/>
  <c r="K30" i="8"/>
  <c r="G30" i="9"/>
  <c r="K42" i="8"/>
  <c r="G42" i="9"/>
  <c r="J42" i="8"/>
  <c r="U45" i="19"/>
  <c r="U45" i="13"/>
  <c r="G41" i="9"/>
  <c r="J41" i="8"/>
  <c r="K41" i="8"/>
  <c r="U21" i="19"/>
  <c r="U21" i="13"/>
  <c r="U84" i="19"/>
  <c r="U84" i="13"/>
  <c r="V53" i="13"/>
  <c r="V53" i="19"/>
  <c r="U68" i="19"/>
  <c r="U68" i="13"/>
  <c r="V44" i="19"/>
  <c r="V44" i="13"/>
  <c r="K49" i="8"/>
  <c r="G49" i="9"/>
  <c r="J49" i="8"/>
  <c r="K81" i="8"/>
  <c r="G81" i="9"/>
  <c r="J81" i="8"/>
  <c r="K40" i="8"/>
  <c r="G40" i="9"/>
  <c r="J40" i="8"/>
  <c r="G25" i="9"/>
  <c r="K25" i="8"/>
  <c r="Q24" i="13" s="1"/>
  <c r="J25" i="8"/>
  <c r="R24" i="13" s="1"/>
  <c r="U64" i="13"/>
  <c r="U64" i="19"/>
  <c r="U54" i="13"/>
  <c r="U54" i="19"/>
  <c r="V75" i="19"/>
  <c r="V75" i="13"/>
  <c r="G86" i="9"/>
  <c r="K86" i="8"/>
  <c r="J86" i="8"/>
  <c r="G82" i="11"/>
  <c r="K82" i="10"/>
  <c r="M81" i="13"/>
  <c r="M81" i="19"/>
  <c r="M30" i="19"/>
  <c r="M30" i="13"/>
  <c r="K53" i="10"/>
  <c r="I52" i="13" s="1"/>
  <c r="J53" i="10"/>
  <c r="J52" i="13" s="1"/>
  <c r="G53" i="11"/>
  <c r="K31" i="10"/>
  <c r="G31" i="11"/>
  <c r="J31" i="10"/>
  <c r="N30" i="13"/>
  <c r="N30" i="19"/>
  <c r="K43" i="10"/>
  <c r="G43" i="11"/>
  <c r="J43" i="10"/>
  <c r="H16" i="10"/>
  <c r="H21" i="9"/>
  <c r="J21" i="8"/>
  <c r="R20" i="13" s="1"/>
  <c r="N56" i="13"/>
  <c r="N56" i="19"/>
  <c r="H23" i="11"/>
  <c r="J23" i="10"/>
  <c r="J70" i="19"/>
  <c r="J70" i="13"/>
  <c r="N28" i="13"/>
  <c r="N28" i="19"/>
  <c r="M27" i="19"/>
  <c r="M27" i="13"/>
  <c r="H77" i="9"/>
  <c r="J77" i="8"/>
  <c r="R76" i="13" s="1"/>
  <c r="R9" i="13"/>
  <c r="R9" i="19"/>
  <c r="K5" i="15"/>
  <c r="L5" i="15" s="1"/>
  <c r="K4" i="15"/>
  <c r="L4" i="15" s="1"/>
  <c r="K9" i="15"/>
  <c r="L9" i="15" s="1"/>
  <c r="K10" i="15"/>
  <c r="L10" i="15" s="1"/>
  <c r="K7" i="15"/>
  <c r="L7" i="15" s="1"/>
  <c r="K6" i="15"/>
  <c r="L6" i="15" s="1"/>
  <c r="K8" i="15"/>
  <c r="L8" i="15" s="1"/>
  <c r="K58" i="10"/>
  <c r="J58" i="10"/>
  <c r="G58" i="11"/>
  <c r="H64" i="10"/>
  <c r="J64" i="9"/>
  <c r="G57" i="11"/>
  <c r="K57" i="10"/>
  <c r="J57" i="10"/>
  <c r="K71" i="11"/>
  <c r="J71" i="11"/>
  <c r="G71" i="12"/>
  <c r="J29" i="10"/>
  <c r="K29" i="10"/>
  <c r="G29" i="11"/>
  <c r="R13" i="13"/>
  <c r="R13" i="19"/>
  <c r="G33" i="11"/>
  <c r="K33" i="10"/>
  <c r="I32" i="13" s="1"/>
  <c r="J33" i="10"/>
  <c r="J32" i="13" s="1"/>
  <c r="H10" i="10"/>
  <c r="J10" i="9"/>
  <c r="H86" i="11"/>
  <c r="M56" i="19"/>
  <c r="M56" i="13"/>
  <c r="H14" i="10"/>
  <c r="J14" i="9"/>
  <c r="N27" i="13"/>
  <c r="N27" i="19"/>
  <c r="N88" i="13"/>
  <c r="N88" i="19"/>
  <c r="N57" i="13"/>
  <c r="N57" i="19"/>
  <c r="N22" i="19"/>
  <c r="N22" i="13"/>
  <c r="I70" i="19"/>
  <c r="I70" i="13"/>
  <c r="M28" i="19"/>
  <c r="M28" i="13"/>
  <c r="J28" i="10"/>
  <c r="G28" i="11"/>
  <c r="K28" i="10"/>
  <c r="H6" i="8"/>
  <c r="J6" i="7"/>
  <c r="V5" i="13" s="1"/>
  <c r="H89" i="11"/>
  <c r="J89" i="10"/>
  <c r="H5" i="7"/>
  <c r="J5" i="6"/>
  <c r="Z4" i="13" s="1"/>
  <c r="H27" i="9"/>
  <c r="J27" i="8"/>
  <c r="R26" i="13" s="1"/>
  <c r="M57" i="13"/>
  <c r="M57" i="19"/>
  <c r="R63" i="13"/>
  <c r="R63" i="19"/>
  <c r="N35" i="13"/>
  <c r="N35" i="19"/>
  <c r="M10" i="13"/>
  <c r="M10" i="19"/>
  <c r="I55" i="19"/>
  <c r="I55" i="13"/>
  <c r="M12" i="13"/>
  <c r="M12" i="19"/>
  <c r="G67" i="11"/>
  <c r="K67" i="10"/>
  <c r="J67" i="10"/>
  <c r="N46" i="13"/>
  <c r="N46" i="19"/>
  <c r="M36" i="19"/>
  <c r="M36" i="13"/>
  <c r="K9" i="12"/>
  <c r="M72" i="19"/>
  <c r="M72" i="13"/>
  <c r="N81" i="19"/>
  <c r="N81" i="13"/>
  <c r="G36" i="11"/>
  <c r="J36" i="10"/>
  <c r="K36" i="10"/>
  <c r="M92" i="19"/>
  <c r="M92" i="13"/>
  <c r="G11" i="11"/>
  <c r="K11" i="10"/>
  <c r="J11" i="10"/>
  <c r="J18" i="19"/>
  <c r="J18" i="13"/>
  <c r="E88" i="19"/>
  <c r="E88" i="13"/>
  <c r="K13" i="10"/>
  <c r="J13" i="10"/>
  <c r="G13" i="11"/>
  <c r="M46" i="19"/>
  <c r="M46" i="13"/>
  <c r="G77" i="12"/>
  <c r="K77" i="11"/>
  <c r="E76" i="13" s="1"/>
  <c r="E8" i="13"/>
  <c r="E8" i="19"/>
  <c r="H82" i="11"/>
  <c r="J82" i="10"/>
  <c r="G93" i="11"/>
  <c r="J93" i="10"/>
  <c r="K93" i="10"/>
  <c r="I18" i="19"/>
  <c r="I18" i="13"/>
  <c r="J55" i="19"/>
  <c r="J55" i="13"/>
  <c r="K89" i="12"/>
  <c r="N66" i="13"/>
  <c r="N66" i="19"/>
  <c r="N8" i="13"/>
  <c r="N8" i="19"/>
  <c r="G47" i="11"/>
  <c r="J47" i="10"/>
  <c r="K47" i="10"/>
  <c r="J37" i="10"/>
  <c r="G37" i="11"/>
  <c r="K37" i="10"/>
  <c r="K79" i="11"/>
  <c r="E78" i="13" s="1"/>
  <c r="G79" i="12"/>
  <c r="N72" i="13"/>
  <c r="N72" i="19"/>
  <c r="N10" i="13"/>
  <c r="N10" i="19"/>
  <c r="J19" i="11"/>
  <c r="K19" i="11"/>
  <c r="G19" i="12"/>
  <c r="G56" i="12"/>
  <c r="J56" i="11"/>
  <c r="K56" i="11"/>
  <c r="N12" i="13"/>
  <c r="N12" i="19"/>
  <c r="M66" i="19"/>
  <c r="M66" i="13"/>
  <c r="H9" i="11"/>
  <c r="J9" i="10"/>
  <c r="N36" i="13"/>
  <c r="N36" i="19"/>
  <c r="G73" i="11"/>
  <c r="K73" i="10"/>
  <c r="J73" i="10"/>
  <c r="M35" i="19"/>
  <c r="M35" i="13"/>
  <c r="N92" i="13"/>
  <c r="N92" i="19"/>
  <c r="H35" i="10"/>
  <c r="I21" i="20" l="1"/>
  <c r="N42" i="19"/>
  <c r="M42" i="13"/>
  <c r="V101" i="19"/>
  <c r="V111" i="19" s="1"/>
  <c r="M38" i="13"/>
  <c r="M38" i="19"/>
  <c r="N38" i="13"/>
  <c r="N38" i="19"/>
  <c r="G39" i="11"/>
  <c r="K39" i="10"/>
  <c r="J39" i="10"/>
  <c r="Z107" i="19"/>
  <c r="Z117" i="19" s="1"/>
  <c r="V102" i="19"/>
  <c r="V112" i="19" s="1"/>
  <c r="AO37" i="15"/>
  <c r="AP37" i="15" s="1"/>
  <c r="AO49" i="15"/>
  <c r="AP49" i="15" s="1"/>
  <c r="Z106" i="19"/>
  <c r="Z116" i="19" s="1"/>
  <c r="K14" i="10"/>
  <c r="G14" i="11"/>
  <c r="M13" i="19"/>
  <c r="M13" i="13"/>
  <c r="K50" i="9"/>
  <c r="G50" i="10"/>
  <c r="J50" i="9"/>
  <c r="V100" i="19"/>
  <c r="V110" i="19" s="1"/>
  <c r="V120" i="19" s="1"/>
  <c r="AO44" i="15"/>
  <c r="AP44" i="15" s="1"/>
  <c r="AO40" i="15"/>
  <c r="AP40" i="15" s="1"/>
  <c r="R15" i="13"/>
  <c r="U105" i="19"/>
  <c r="U115" i="19" s="1"/>
  <c r="U102" i="19"/>
  <c r="U112" i="19" s="1"/>
  <c r="U101" i="19"/>
  <c r="U111" i="19" s="1"/>
  <c r="U103" i="19"/>
  <c r="U113" i="19" s="1"/>
  <c r="U104" i="19"/>
  <c r="U114" i="19" s="1"/>
  <c r="Z110" i="19"/>
  <c r="Z120" i="19" s="1"/>
  <c r="J32" i="9"/>
  <c r="G32" i="10"/>
  <c r="K32" i="9"/>
  <c r="AO42" i="15"/>
  <c r="AP42" i="15" s="1"/>
  <c r="V105" i="19"/>
  <c r="V115" i="19" s="1"/>
  <c r="J91" i="9"/>
  <c r="N90" i="13" s="1"/>
  <c r="H91" i="10"/>
  <c r="AO38" i="15"/>
  <c r="AP38" i="15" s="1"/>
  <c r="Z109" i="19"/>
  <c r="Z119" i="19" s="1"/>
  <c r="Q31" i="19"/>
  <c r="Q31" i="13"/>
  <c r="G60" i="10"/>
  <c r="K60" i="9"/>
  <c r="M59" i="13" s="1"/>
  <c r="J60" i="9"/>
  <c r="N59" i="13" s="1"/>
  <c r="R49" i="13"/>
  <c r="R49" i="19"/>
  <c r="V103" i="19"/>
  <c r="V113" i="19" s="1"/>
  <c r="V104" i="19"/>
  <c r="V114" i="19" s="1"/>
  <c r="AO53" i="15"/>
  <c r="AP53" i="15" s="1"/>
  <c r="AO39" i="15"/>
  <c r="AP39" i="15" s="1"/>
  <c r="AO45" i="15"/>
  <c r="AP45" i="15" s="1"/>
  <c r="AO46" i="15"/>
  <c r="AP46" i="15" s="1"/>
  <c r="AO51" i="15"/>
  <c r="AP51" i="15" s="1"/>
  <c r="AO47" i="15"/>
  <c r="AP47" i="15" s="1"/>
  <c r="AO52" i="15"/>
  <c r="AP52" i="15" s="1"/>
  <c r="AO48" i="15"/>
  <c r="AP48" i="15" s="1"/>
  <c r="R31" i="13"/>
  <c r="R31" i="19"/>
  <c r="AO41" i="15"/>
  <c r="AP41" i="15" s="1"/>
  <c r="AO43" i="15"/>
  <c r="AP43" i="15" s="1"/>
  <c r="Q49" i="19"/>
  <c r="Q49" i="13"/>
  <c r="AO50" i="15"/>
  <c r="AP50" i="15" s="1"/>
  <c r="K86" i="9"/>
  <c r="G86" i="10"/>
  <c r="J86" i="9"/>
  <c r="Q39" i="19"/>
  <c r="Q39" i="13"/>
  <c r="R48" i="19"/>
  <c r="R48" i="13"/>
  <c r="Q41" i="19"/>
  <c r="Q41" i="13"/>
  <c r="G8" i="10"/>
  <c r="K8" i="9"/>
  <c r="M7" i="13" s="1"/>
  <c r="J8" i="9"/>
  <c r="N7" i="13" s="1"/>
  <c r="R73" i="19"/>
  <c r="R73" i="13"/>
  <c r="G94" i="10"/>
  <c r="K94" i="9"/>
  <c r="M93" i="13" s="1"/>
  <c r="J94" i="9"/>
  <c r="N93" i="13" s="1"/>
  <c r="R58" i="13"/>
  <c r="R58" i="19"/>
  <c r="R17" i="19"/>
  <c r="R17" i="13"/>
  <c r="K23" i="11"/>
  <c r="G23" i="12"/>
  <c r="K23" i="12" s="1"/>
  <c r="K55" i="9"/>
  <c r="G55" i="10"/>
  <c r="J55" i="9"/>
  <c r="K85" i="9"/>
  <c r="J85" i="9"/>
  <c r="G85" i="10"/>
  <c r="Q79" i="19"/>
  <c r="Q79" i="13"/>
  <c r="R87" i="13"/>
  <c r="R87" i="19"/>
  <c r="Q50" i="13"/>
  <c r="Q50" i="19"/>
  <c r="Q14" i="13"/>
  <c r="Q14" i="19"/>
  <c r="R64" i="19"/>
  <c r="R64" i="13"/>
  <c r="Q44" i="19"/>
  <c r="Q44" i="13"/>
  <c r="K68" i="9"/>
  <c r="J68" i="9"/>
  <c r="G68" i="10"/>
  <c r="Q91" i="19"/>
  <c r="Q91" i="13"/>
  <c r="Q45" i="13"/>
  <c r="Q45" i="19"/>
  <c r="R16" i="19"/>
  <c r="R16" i="13"/>
  <c r="R23" i="19"/>
  <c r="R23" i="13"/>
  <c r="G63" i="10"/>
  <c r="K63" i="9"/>
  <c r="J63" i="9"/>
  <c r="Q47" i="13"/>
  <c r="Q47" i="19"/>
  <c r="R69" i="19"/>
  <c r="R69" i="13"/>
  <c r="Q11" i="19"/>
  <c r="Q11" i="13"/>
  <c r="R75" i="19"/>
  <c r="R75" i="13"/>
  <c r="M61" i="13"/>
  <c r="M61" i="19"/>
  <c r="Q53" i="13"/>
  <c r="Q53" i="19"/>
  <c r="N86" i="19"/>
  <c r="N86" i="13"/>
  <c r="K44" i="9"/>
  <c r="J44" i="9"/>
  <c r="G44" i="10"/>
  <c r="Q15" i="13"/>
  <c r="Q15" i="19"/>
  <c r="K25" i="9"/>
  <c r="M24" i="13" s="1"/>
  <c r="G25" i="10"/>
  <c r="J25" i="9"/>
  <c r="N24" i="13" s="1"/>
  <c r="R80" i="19"/>
  <c r="R80" i="13"/>
  <c r="K49" i="9"/>
  <c r="J49" i="9"/>
  <c r="G49" i="10"/>
  <c r="Q40" i="13"/>
  <c r="Q40" i="19"/>
  <c r="J30" i="9"/>
  <c r="G30" i="10"/>
  <c r="K30" i="9"/>
  <c r="Q17" i="19"/>
  <c r="Q17" i="13"/>
  <c r="R54" i="19"/>
  <c r="R54" i="13"/>
  <c r="R71" i="13"/>
  <c r="R71" i="19"/>
  <c r="Q84" i="13"/>
  <c r="Q84" i="19"/>
  <c r="Q21" i="19"/>
  <c r="Q21" i="13"/>
  <c r="R79" i="13"/>
  <c r="R79" i="19"/>
  <c r="E63" i="19"/>
  <c r="E63" i="13"/>
  <c r="Q87" i="13"/>
  <c r="Q87" i="19"/>
  <c r="R14" i="13"/>
  <c r="R14" i="19"/>
  <c r="Q64" i="13"/>
  <c r="Q64" i="19"/>
  <c r="R83" i="13"/>
  <c r="R83" i="19"/>
  <c r="Q67" i="13"/>
  <c r="Q67" i="19"/>
  <c r="K92" i="9"/>
  <c r="J92" i="9"/>
  <c r="G92" i="10"/>
  <c r="R45" i="13"/>
  <c r="R45" i="19"/>
  <c r="Q37" i="19"/>
  <c r="Q37" i="13"/>
  <c r="K24" i="9"/>
  <c r="J24" i="9"/>
  <c r="G24" i="10"/>
  <c r="R62" i="19"/>
  <c r="R62" i="13"/>
  <c r="K48" i="9"/>
  <c r="J48" i="9"/>
  <c r="G48" i="10"/>
  <c r="Q69" i="19"/>
  <c r="Q69" i="13"/>
  <c r="K12" i="9"/>
  <c r="J12" i="9"/>
  <c r="G12" i="10"/>
  <c r="Q75" i="19"/>
  <c r="Q75" i="13"/>
  <c r="G83" i="10"/>
  <c r="K83" i="9"/>
  <c r="M82" i="13" s="1"/>
  <c r="J83" i="9"/>
  <c r="N82" i="13" s="1"/>
  <c r="R68" i="19"/>
  <c r="R68" i="13"/>
  <c r="K54" i="9"/>
  <c r="J54" i="9"/>
  <c r="G54" i="10"/>
  <c r="M86" i="13"/>
  <c r="M86" i="19"/>
  <c r="K75" i="9"/>
  <c r="J75" i="9"/>
  <c r="G75" i="10"/>
  <c r="K21" i="9"/>
  <c r="M20" i="13" s="1"/>
  <c r="G21" i="10"/>
  <c r="G16" i="10"/>
  <c r="J16" i="10" s="1"/>
  <c r="K16" i="9"/>
  <c r="R85" i="13"/>
  <c r="R85" i="19"/>
  <c r="R39" i="19"/>
  <c r="R39" i="13"/>
  <c r="J81" i="9"/>
  <c r="G81" i="10"/>
  <c r="K81" i="9"/>
  <c r="Q48" i="19"/>
  <c r="Q48" i="13"/>
  <c r="R40" i="19"/>
  <c r="R40" i="13"/>
  <c r="R41" i="19"/>
  <c r="R41" i="13"/>
  <c r="Q29" i="13"/>
  <c r="Q29" i="19"/>
  <c r="Q73" i="19"/>
  <c r="Q73" i="13"/>
  <c r="Q58" i="19"/>
  <c r="Q58" i="13"/>
  <c r="G18" i="10"/>
  <c r="K18" i="9"/>
  <c r="J18" i="9"/>
  <c r="Q54" i="13"/>
  <c r="Q54" i="19"/>
  <c r="J72" i="9"/>
  <c r="G72" i="10"/>
  <c r="K72" i="9"/>
  <c r="R84" i="13"/>
  <c r="R84" i="19"/>
  <c r="R21" i="19"/>
  <c r="R21" i="13"/>
  <c r="K80" i="9"/>
  <c r="G80" i="10"/>
  <c r="J80" i="9"/>
  <c r="A63" i="19"/>
  <c r="A63" i="13"/>
  <c r="R50" i="19"/>
  <c r="R50" i="13"/>
  <c r="J65" i="9"/>
  <c r="G65" i="10"/>
  <c r="K65" i="9"/>
  <c r="Q83" i="13"/>
  <c r="Q83" i="19"/>
  <c r="G45" i="10"/>
  <c r="K45" i="9"/>
  <c r="J45" i="9"/>
  <c r="R91" i="19"/>
  <c r="R91" i="13"/>
  <c r="Q16" i="13"/>
  <c r="Q16" i="19"/>
  <c r="R37" i="13"/>
  <c r="R37" i="19"/>
  <c r="K96" i="9"/>
  <c r="M95" i="13" s="1"/>
  <c r="G96" i="10"/>
  <c r="J96" i="9"/>
  <c r="N95" i="13" s="1"/>
  <c r="Q62" i="19"/>
  <c r="Q62" i="13"/>
  <c r="G35" i="10"/>
  <c r="K35" i="9"/>
  <c r="M34" i="13" s="1"/>
  <c r="K70" i="9"/>
  <c r="G70" i="10"/>
  <c r="J70" i="9"/>
  <c r="G76" i="10"/>
  <c r="K76" i="9"/>
  <c r="J76" i="9"/>
  <c r="N61" i="19"/>
  <c r="N61" i="13"/>
  <c r="K69" i="9"/>
  <c r="G69" i="10"/>
  <c r="J69" i="9"/>
  <c r="R53" i="13"/>
  <c r="R53" i="19"/>
  <c r="R43" i="19"/>
  <c r="R43" i="13"/>
  <c r="Q74" i="13"/>
  <c r="Q74" i="19"/>
  <c r="Q85" i="13"/>
  <c r="Q85" i="19"/>
  <c r="J40" i="9"/>
  <c r="G40" i="10"/>
  <c r="K40" i="9"/>
  <c r="Q80" i="19"/>
  <c r="Q80" i="13"/>
  <c r="J41" i="9"/>
  <c r="K41" i="9"/>
  <c r="G41" i="10"/>
  <c r="J42" i="9"/>
  <c r="K42" i="9"/>
  <c r="G42" i="10"/>
  <c r="R29" i="13"/>
  <c r="R29" i="19"/>
  <c r="K74" i="9"/>
  <c r="J74" i="9"/>
  <c r="G74" i="10"/>
  <c r="J59" i="9"/>
  <c r="K59" i="9"/>
  <c r="G59" i="10"/>
  <c r="Y106" i="19"/>
  <c r="Y116" i="19" s="1"/>
  <c r="Y110" i="19"/>
  <c r="Y120" i="19" s="1"/>
  <c r="Y108" i="19"/>
  <c r="Y118" i="19" s="1"/>
  <c r="Y107" i="19"/>
  <c r="Y117" i="19" s="1"/>
  <c r="Y109" i="19"/>
  <c r="Y119" i="19" s="1"/>
  <c r="U100" i="19"/>
  <c r="I22" i="19"/>
  <c r="I22" i="13"/>
  <c r="Q71" i="13"/>
  <c r="Q71" i="19"/>
  <c r="G22" i="10"/>
  <c r="K22" i="9"/>
  <c r="J22" i="9"/>
  <c r="K88" i="9"/>
  <c r="J88" i="9"/>
  <c r="G88" i="10"/>
  <c r="G51" i="10"/>
  <c r="J51" i="9"/>
  <c r="K51" i="9"/>
  <c r="J15" i="9"/>
  <c r="G15" i="10"/>
  <c r="K15" i="9"/>
  <c r="K6" i="9"/>
  <c r="M5" i="13" s="1"/>
  <c r="G6" i="10"/>
  <c r="G84" i="10"/>
  <c r="K84" i="9"/>
  <c r="J84" i="9"/>
  <c r="R44" i="13"/>
  <c r="R44" i="19"/>
  <c r="R67" i="19"/>
  <c r="R67" i="13"/>
  <c r="K46" i="9"/>
  <c r="G46" i="10"/>
  <c r="J46" i="9"/>
  <c r="K17" i="9"/>
  <c r="J17" i="9"/>
  <c r="G17" i="10"/>
  <c r="K38" i="9"/>
  <c r="G38" i="10"/>
  <c r="J38" i="9"/>
  <c r="Q23" i="19"/>
  <c r="Q23" i="13"/>
  <c r="R47" i="13"/>
  <c r="R47" i="19"/>
  <c r="R11" i="19"/>
  <c r="R11" i="13"/>
  <c r="J62" i="10"/>
  <c r="G62" i="11"/>
  <c r="K62" i="10"/>
  <c r="Q68" i="13"/>
  <c r="Q68" i="19"/>
  <c r="K87" i="10"/>
  <c r="J87" i="10"/>
  <c r="G87" i="11"/>
  <c r="Q43" i="13"/>
  <c r="Q43" i="19"/>
  <c r="R74" i="13"/>
  <c r="R74" i="19"/>
  <c r="H79" i="10"/>
  <c r="J79" i="9"/>
  <c r="N78" i="13" s="1"/>
  <c r="K82" i="11"/>
  <c r="G82" i="12"/>
  <c r="K82" i="12" s="1"/>
  <c r="I81" i="13"/>
  <c r="I81" i="19"/>
  <c r="K43" i="11"/>
  <c r="G43" i="12"/>
  <c r="J43" i="11"/>
  <c r="J30" i="13"/>
  <c r="J30" i="19"/>
  <c r="I42" i="19"/>
  <c r="I42" i="13"/>
  <c r="K31" i="11"/>
  <c r="G31" i="12"/>
  <c r="J31" i="11"/>
  <c r="J53" i="11"/>
  <c r="F52" i="13" s="1"/>
  <c r="K53" i="11"/>
  <c r="E52" i="13" s="1"/>
  <c r="G53" i="12"/>
  <c r="I30" i="19"/>
  <c r="I30" i="13"/>
  <c r="J42" i="19"/>
  <c r="J42" i="13"/>
  <c r="H6" i="9"/>
  <c r="J6" i="8"/>
  <c r="R5" i="13" s="1"/>
  <c r="K28" i="11"/>
  <c r="G28" i="12"/>
  <c r="J28" i="11"/>
  <c r="N13" i="13"/>
  <c r="N13" i="19"/>
  <c r="H86" i="12"/>
  <c r="H10" i="11"/>
  <c r="J10" i="10"/>
  <c r="J57" i="11"/>
  <c r="K57" i="11"/>
  <c r="G57" i="12"/>
  <c r="H64" i="11"/>
  <c r="J64" i="10"/>
  <c r="I57" i="13"/>
  <c r="I57" i="19"/>
  <c r="H27" i="10"/>
  <c r="J27" i="9"/>
  <c r="N26" i="13" s="1"/>
  <c r="C10" i="15"/>
  <c r="D10" i="15" s="1"/>
  <c r="C12" i="15"/>
  <c r="D12" i="15" s="1"/>
  <c r="C6" i="15"/>
  <c r="D6" i="15" s="1"/>
  <c r="C5" i="15"/>
  <c r="D5" i="15" s="1"/>
  <c r="C11" i="15"/>
  <c r="D11" i="15" s="1"/>
  <c r="C4" i="15"/>
  <c r="D4" i="15" s="1"/>
  <c r="C8" i="15"/>
  <c r="D8" i="15" s="1"/>
  <c r="C9" i="15"/>
  <c r="D9" i="15" s="1"/>
  <c r="C7" i="15"/>
  <c r="D7" i="15" s="1"/>
  <c r="C13" i="15"/>
  <c r="D13" i="15" s="1"/>
  <c r="J88" i="13"/>
  <c r="J88" i="19"/>
  <c r="J27" i="19"/>
  <c r="J27" i="13"/>
  <c r="H14" i="11"/>
  <c r="J14" i="10"/>
  <c r="J29" i="11"/>
  <c r="K29" i="11"/>
  <c r="G29" i="12"/>
  <c r="J71" i="12"/>
  <c r="K71" i="12"/>
  <c r="H77" i="10"/>
  <c r="J77" i="9"/>
  <c r="N76" i="13" s="1"/>
  <c r="H21" i="10"/>
  <c r="J21" i="9"/>
  <c r="N20" i="13" s="1"/>
  <c r="J5" i="7"/>
  <c r="V4" i="13" s="1"/>
  <c r="H5" i="8"/>
  <c r="H89" i="12"/>
  <c r="J89" i="12" s="1"/>
  <c r="B88" i="13" s="1"/>
  <c r="J89" i="11"/>
  <c r="I28" i="19"/>
  <c r="I28" i="13"/>
  <c r="F70" i="13"/>
  <c r="F70" i="19"/>
  <c r="J56" i="19"/>
  <c r="J56" i="13"/>
  <c r="K58" i="11"/>
  <c r="G58" i="12"/>
  <c r="J58" i="11"/>
  <c r="J22" i="19"/>
  <c r="J22" i="13"/>
  <c r="N15" i="13"/>
  <c r="N15" i="19"/>
  <c r="I27" i="13"/>
  <c r="I27" i="19"/>
  <c r="N9" i="19"/>
  <c r="N9" i="13"/>
  <c r="K33" i="11"/>
  <c r="E32" i="13" s="1"/>
  <c r="J33" i="11"/>
  <c r="F32" i="13" s="1"/>
  <c r="G33" i="12"/>
  <c r="J28" i="19"/>
  <c r="J28" i="13"/>
  <c r="E70" i="19"/>
  <c r="E70" i="13"/>
  <c r="I56" i="19"/>
  <c r="I56" i="13"/>
  <c r="N63" i="13"/>
  <c r="N63" i="19"/>
  <c r="J57" i="13"/>
  <c r="J57" i="19"/>
  <c r="J23" i="11"/>
  <c r="H23" i="12"/>
  <c r="H16" i="11"/>
  <c r="J36" i="13"/>
  <c r="J36" i="19"/>
  <c r="J46" i="13"/>
  <c r="J46" i="19"/>
  <c r="K93" i="11"/>
  <c r="J93" i="11"/>
  <c r="G93" i="12"/>
  <c r="K77" i="12"/>
  <c r="A76" i="13" s="1"/>
  <c r="J10" i="19"/>
  <c r="J10" i="13"/>
  <c r="I66" i="19"/>
  <c r="I66" i="13"/>
  <c r="J72" i="19"/>
  <c r="J72" i="13"/>
  <c r="F55" i="13"/>
  <c r="F55" i="19"/>
  <c r="J47" i="11"/>
  <c r="G47" i="12"/>
  <c r="K47" i="11"/>
  <c r="I72" i="19"/>
  <c r="I72" i="13"/>
  <c r="K56" i="12"/>
  <c r="J56" i="12"/>
  <c r="F18" i="13"/>
  <c r="F18" i="19"/>
  <c r="I36" i="19"/>
  <c r="I36" i="13"/>
  <c r="A88" i="19"/>
  <c r="A88" i="13"/>
  <c r="I92" i="13"/>
  <c r="I92" i="19"/>
  <c r="J81" i="19"/>
  <c r="J81" i="13"/>
  <c r="J12" i="19"/>
  <c r="J12" i="13"/>
  <c r="G11" i="12"/>
  <c r="J11" i="11"/>
  <c r="K11" i="11"/>
  <c r="J35" i="13"/>
  <c r="J35" i="19"/>
  <c r="K73" i="11"/>
  <c r="G73" i="12"/>
  <c r="J73" i="11"/>
  <c r="J8" i="19"/>
  <c r="J8" i="13"/>
  <c r="E55" i="19"/>
  <c r="E55" i="13"/>
  <c r="K19" i="12"/>
  <c r="J19" i="12"/>
  <c r="K79" i="12"/>
  <c r="A78" i="13" s="1"/>
  <c r="J37" i="11"/>
  <c r="G37" i="12"/>
  <c r="K37" i="11"/>
  <c r="I46" i="19"/>
  <c r="I46" i="13"/>
  <c r="J92" i="13"/>
  <c r="J92" i="19"/>
  <c r="H82" i="12"/>
  <c r="J82" i="11"/>
  <c r="I12" i="19"/>
  <c r="I12" i="13"/>
  <c r="J36" i="11"/>
  <c r="G36" i="12"/>
  <c r="K36" i="11"/>
  <c r="A8" i="19"/>
  <c r="A8" i="13"/>
  <c r="J66" i="19"/>
  <c r="J66" i="13"/>
  <c r="H9" i="12"/>
  <c r="J9" i="12" s="1"/>
  <c r="J9" i="11"/>
  <c r="E18" i="13"/>
  <c r="E18" i="19"/>
  <c r="J13" i="11"/>
  <c r="G13" i="12"/>
  <c r="K13" i="11"/>
  <c r="I10" i="19"/>
  <c r="I10" i="13"/>
  <c r="I35" i="19"/>
  <c r="I35" i="13"/>
  <c r="K67" i="11"/>
  <c r="J67" i="11"/>
  <c r="G67" i="12"/>
  <c r="H35" i="11"/>
  <c r="I22" i="20" l="1"/>
  <c r="J23" i="12"/>
  <c r="B22" i="19" s="1"/>
  <c r="J38" i="19"/>
  <c r="J38" i="13"/>
  <c r="R102" i="19"/>
  <c r="R112" i="19" s="1"/>
  <c r="I38" i="19"/>
  <c r="I38" i="13"/>
  <c r="K39" i="11"/>
  <c r="G39" i="12"/>
  <c r="J39" i="11"/>
  <c r="R105" i="19"/>
  <c r="R115" i="19" s="1"/>
  <c r="AG43" i="15"/>
  <c r="AH43" i="15" s="1"/>
  <c r="G14" i="12"/>
  <c r="K14" i="12" s="1"/>
  <c r="A13" i="13" s="1"/>
  <c r="K14" i="11"/>
  <c r="V108" i="19"/>
  <c r="V118" i="19" s="1"/>
  <c r="V106" i="19"/>
  <c r="V116" i="19" s="1"/>
  <c r="I13" i="19"/>
  <c r="I13" i="13"/>
  <c r="AG44" i="15"/>
  <c r="AH44" i="15" s="1"/>
  <c r="R103" i="19"/>
  <c r="R113" i="19" s="1"/>
  <c r="G60" i="11"/>
  <c r="K60" i="10"/>
  <c r="I59" i="13" s="1"/>
  <c r="J60" i="10"/>
  <c r="J59" i="13" s="1"/>
  <c r="J91" i="10"/>
  <c r="J90" i="13" s="1"/>
  <c r="H91" i="11"/>
  <c r="AG45" i="15"/>
  <c r="AH45" i="15" s="1"/>
  <c r="M49" i="19"/>
  <c r="M49" i="13"/>
  <c r="R101" i="19"/>
  <c r="R111" i="19" s="1"/>
  <c r="V107" i="19"/>
  <c r="V117" i="19" s="1"/>
  <c r="V109" i="19"/>
  <c r="V119" i="19" s="1"/>
  <c r="R100" i="19"/>
  <c r="R107" i="19" s="1"/>
  <c r="R117" i="19" s="1"/>
  <c r="AG51" i="15"/>
  <c r="AH51" i="15" s="1"/>
  <c r="AG49" i="15"/>
  <c r="AH49" i="15" s="1"/>
  <c r="G32" i="11"/>
  <c r="K32" i="10"/>
  <c r="J32" i="10"/>
  <c r="AG37" i="15"/>
  <c r="AH37" i="15" s="1"/>
  <c r="AG48" i="15"/>
  <c r="AH48" i="15" s="1"/>
  <c r="AG46" i="15"/>
  <c r="AH46" i="15" s="1"/>
  <c r="AG52" i="15"/>
  <c r="AH52" i="15" s="1"/>
  <c r="AG38" i="15"/>
  <c r="AH38" i="15" s="1"/>
  <c r="AG41" i="15"/>
  <c r="AH41" i="15" s="1"/>
  <c r="AG39" i="15"/>
  <c r="AH39" i="15" s="1"/>
  <c r="G50" i="11"/>
  <c r="J50" i="10"/>
  <c r="K50" i="10"/>
  <c r="Q102" i="19"/>
  <c r="Q112" i="19" s="1"/>
  <c r="Q103" i="19"/>
  <c r="Q113" i="19" s="1"/>
  <c r="Q101" i="19"/>
  <c r="Q111" i="19" s="1"/>
  <c r="Q105" i="19"/>
  <c r="Q115" i="19" s="1"/>
  <c r="Q104" i="19"/>
  <c r="Q114" i="19" s="1"/>
  <c r="AG40" i="15"/>
  <c r="AH40" i="15" s="1"/>
  <c r="M31" i="19"/>
  <c r="M31" i="13"/>
  <c r="R104" i="19"/>
  <c r="R114" i="19" s="1"/>
  <c r="AG53" i="15"/>
  <c r="AH53" i="15" s="1"/>
  <c r="AG47" i="15"/>
  <c r="AH47" i="15" s="1"/>
  <c r="N31" i="13"/>
  <c r="N31" i="19"/>
  <c r="AG42" i="15"/>
  <c r="AH42" i="15" s="1"/>
  <c r="N49" i="13"/>
  <c r="N49" i="19"/>
  <c r="AG50" i="15"/>
  <c r="AH50" i="15" s="1"/>
  <c r="I86" i="19"/>
  <c r="I86" i="13"/>
  <c r="G62" i="12"/>
  <c r="K62" i="11"/>
  <c r="J62" i="11"/>
  <c r="N37" i="13"/>
  <c r="N37" i="19"/>
  <c r="N16" i="13"/>
  <c r="N16" i="19"/>
  <c r="M45" i="13"/>
  <c r="M45" i="19"/>
  <c r="G6" i="11"/>
  <c r="K6" i="10"/>
  <c r="I5" i="13" s="1"/>
  <c r="N14" i="13"/>
  <c r="N14" i="19"/>
  <c r="J88" i="10"/>
  <c r="G88" i="11"/>
  <c r="K88" i="10"/>
  <c r="M21" i="13"/>
  <c r="M21" i="19"/>
  <c r="G59" i="11"/>
  <c r="K59" i="10"/>
  <c r="J59" i="10"/>
  <c r="N73" i="13"/>
  <c r="N73" i="19"/>
  <c r="G42" i="11"/>
  <c r="J42" i="10"/>
  <c r="K42" i="10"/>
  <c r="M40" i="19"/>
  <c r="M40" i="13"/>
  <c r="M39" i="13"/>
  <c r="M39" i="19"/>
  <c r="N68" i="13"/>
  <c r="N68" i="19"/>
  <c r="N69" i="13"/>
  <c r="N69" i="19"/>
  <c r="K35" i="10"/>
  <c r="I34" i="13" s="1"/>
  <c r="G35" i="11"/>
  <c r="J35" i="11" s="1"/>
  <c r="F34" i="13" s="1"/>
  <c r="K96" i="10"/>
  <c r="J96" i="10"/>
  <c r="G96" i="11"/>
  <c r="N44" i="19"/>
  <c r="N44" i="13"/>
  <c r="N79" i="19"/>
  <c r="N79" i="13"/>
  <c r="K72" i="10"/>
  <c r="J72" i="10"/>
  <c r="G72" i="11"/>
  <c r="N17" i="13"/>
  <c r="N17" i="19"/>
  <c r="G81" i="11"/>
  <c r="J81" i="10"/>
  <c r="K81" i="10"/>
  <c r="G21" i="11"/>
  <c r="K21" i="10"/>
  <c r="I20" i="13" s="1"/>
  <c r="M74" i="19"/>
  <c r="M74" i="13"/>
  <c r="N53" i="13"/>
  <c r="N53" i="19"/>
  <c r="M47" i="19"/>
  <c r="M47" i="13"/>
  <c r="N23" i="19"/>
  <c r="N23" i="13"/>
  <c r="M91" i="19"/>
  <c r="M91" i="13"/>
  <c r="M48" i="19"/>
  <c r="M48" i="13"/>
  <c r="G25" i="11"/>
  <c r="K25" i="10"/>
  <c r="I24" i="13" s="1"/>
  <c r="J25" i="10"/>
  <c r="J24" i="13" s="1"/>
  <c r="J44" i="10"/>
  <c r="G44" i="11"/>
  <c r="K44" i="10"/>
  <c r="Q100" i="19"/>
  <c r="J68" i="10"/>
  <c r="G68" i="11"/>
  <c r="K68" i="10"/>
  <c r="N84" i="19"/>
  <c r="N84" i="13"/>
  <c r="M54" i="19"/>
  <c r="M54" i="13"/>
  <c r="H79" i="11"/>
  <c r="J79" i="10"/>
  <c r="J78" i="13" s="1"/>
  <c r="J61" i="19"/>
  <c r="J61" i="13"/>
  <c r="J38" i="10"/>
  <c r="K38" i="10"/>
  <c r="G38" i="11"/>
  <c r="M16" i="13"/>
  <c r="M16" i="19"/>
  <c r="N83" i="19"/>
  <c r="N83" i="13"/>
  <c r="M50" i="19"/>
  <c r="M50" i="13"/>
  <c r="N87" i="19"/>
  <c r="N87" i="13"/>
  <c r="G22" i="11"/>
  <c r="K22" i="10"/>
  <c r="J22" i="10"/>
  <c r="M58" i="19"/>
  <c r="M58" i="13"/>
  <c r="M73" i="19"/>
  <c r="M73" i="13"/>
  <c r="M41" i="19"/>
  <c r="M41" i="13"/>
  <c r="N40" i="13"/>
  <c r="N40" i="19"/>
  <c r="J40" i="10"/>
  <c r="G40" i="11"/>
  <c r="K40" i="10"/>
  <c r="G69" i="11"/>
  <c r="K69" i="10"/>
  <c r="J69" i="10"/>
  <c r="N75" i="13"/>
  <c r="N75" i="19"/>
  <c r="J70" i="10"/>
  <c r="G70" i="11"/>
  <c r="K70" i="10"/>
  <c r="M44" i="13"/>
  <c r="M44" i="19"/>
  <c r="M64" i="19"/>
  <c r="M64" i="13"/>
  <c r="G80" i="11"/>
  <c r="J80" i="10"/>
  <c r="K80" i="10"/>
  <c r="N71" i="13"/>
  <c r="N71" i="19"/>
  <c r="M17" i="13"/>
  <c r="M17" i="19"/>
  <c r="N80" i="19"/>
  <c r="N80" i="13"/>
  <c r="M53" i="13"/>
  <c r="M53" i="19"/>
  <c r="K12" i="10"/>
  <c r="J12" i="10"/>
  <c r="G12" i="11"/>
  <c r="M23" i="13"/>
  <c r="M23" i="19"/>
  <c r="M29" i="19"/>
  <c r="M29" i="13"/>
  <c r="N43" i="13"/>
  <c r="N43" i="19"/>
  <c r="N62" i="13"/>
  <c r="N62" i="19"/>
  <c r="N67" i="19"/>
  <c r="N67" i="13"/>
  <c r="M84" i="19"/>
  <c r="M84" i="13"/>
  <c r="A22" i="13"/>
  <c r="A22" i="19"/>
  <c r="J94" i="10"/>
  <c r="J93" i="13" s="1"/>
  <c r="G94" i="11"/>
  <c r="K94" i="10"/>
  <c r="I93" i="13" s="1"/>
  <c r="N85" i="19"/>
  <c r="N85" i="13"/>
  <c r="G87" i="12"/>
  <c r="J87" i="11"/>
  <c r="K87" i="11"/>
  <c r="M37" i="13"/>
  <c r="M37" i="19"/>
  <c r="N45" i="19"/>
  <c r="N45" i="13"/>
  <c r="M83" i="19"/>
  <c r="M83" i="13"/>
  <c r="M14" i="13"/>
  <c r="M14" i="19"/>
  <c r="N50" i="19"/>
  <c r="N50" i="13"/>
  <c r="M87" i="19"/>
  <c r="M87" i="13"/>
  <c r="U106" i="19"/>
  <c r="U116" i="19" s="1"/>
  <c r="U110" i="19"/>
  <c r="U120" i="19" s="1"/>
  <c r="U109" i="19"/>
  <c r="U119" i="19" s="1"/>
  <c r="U108" i="19"/>
  <c r="U118" i="19" s="1"/>
  <c r="U107" i="19"/>
  <c r="U117" i="19" s="1"/>
  <c r="N58" i="19"/>
  <c r="N58" i="13"/>
  <c r="N41" i="19"/>
  <c r="N41" i="13"/>
  <c r="N39" i="19"/>
  <c r="N39" i="13"/>
  <c r="M68" i="19"/>
  <c r="M68" i="13"/>
  <c r="M75" i="19"/>
  <c r="M75" i="13"/>
  <c r="M69" i="19"/>
  <c r="M69" i="13"/>
  <c r="J45" i="10"/>
  <c r="G45" i="11"/>
  <c r="K45" i="10"/>
  <c r="J65" i="10"/>
  <c r="G65" i="11"/>
  <c r="K65" i="10"/>
  <c r="M79" i="19"/>
  <c r="M79" i="13"/>
  <c r="K18" i="10"/>
  <c r="J18" i="10"/>
  <c r="G18" i="11"/>
  <c r="M15" i="13"/>
  <c r="M15" i="19"/>
  <c r="K75" i="10"/>
  <c r="J75" i="10"/>
  <c r="G75" i="11"/>
  <c r="G83" i="11"/>
  <c r="K83" i="10"/>
  <c r="I82" i="13" s="1"/>
  <c r="J83" i="10"/>
  <c r="J82" i="13" s="1"/>
  <c r="N11" i="13"/>
  <c r="N11" i="19"/>
  <c r="K48" i="10"/>
  <c r="J48" i="10"/>
  <c r="G48" i="11"/>
  <c r="J92" i="10"/>
  <c r="G92" i="11"/>
  <c r="K92" i="10"/>
  <c r="G30" i="11"/>
  <c r="J30" i="10"/>
  <c r="K30" i="10"/>
  <c r="K49" i="10"/>
  <c r="J49" i="10"/>
  <c r="G49" i="11"/>
  <c r="M43" i="13"/>
  <c r="M43" i="19"/>
  <c r="M62" i="19"/>
  <c r="M62" i="13"/>
  <c r="M67" i="19"/>
  <c r="M67" i="13"/>
  <c r="N54" i="13"/>
  <c r="N54" i="19"/>
  <c r="E22" i="19"/>
  <c r="E22" i="13"/>
  <c r="G8" i="11"/>
  <c r="J8" i="10"/>
  <c r="J7" i="13" s="1"/>
  <c r="K8" i="10"/>
  <c r="I7" i="13" s="1"/>
  <c r="K86" i="10"/>
  <c r="G86" i="11"/>
  <c r="J86" i="10"/>
  <c r="J35" i="10"/>
  <c r="J34" i="13" s="1"/>
  <c r="J82" i="12"/>
  <c r="B81" i="13" s="1"/>
  <c r="J86" i="19"/>
  <c r="J86" i="13"/>
  <c r="I61" i="19"/>
  <c r="I61" i="13"/>
  <c r="G17" i="11"/>
  <c r="K17" i="10"/>
  <c r="J17" i="10"/>
  <c r="K46" i="10"/>
  <c r="G46" i="11"/>
  <c r="J46" i="10"/>
  <c r="K84" i="10"/>
  <c r="G84" i="11"/>
  <c r="J84" i="10"/>
  <c r="J15" i="10"/>
  <c r="G15" i="11"/>
  <c r="K15" i="10"/>
  <c r="K51" i="10"/>
  <c r="G51" i="11"/>
  <c r="J51" i="10"/>
  <c r="N21" i="13"/>
  <c r="N21" i="19"/>
  <c r="J74" i="10"/>
  <c r="K74" i="10"/>
  <c r="G74" i="11"/>
  <c r="G41" i="11"/>
  <c r="J41" i="10"/>
  <c r="K41" i="10"/>
  <c r="G76" i="11"/>
  <c r="K76" i="10"/>
  <c r="J76" i="10"/>
  <c r="N64" i="19"/>
  <c r="N64" i="13"/>
  <c r="M71" i="13"/>
  <c r="M71" i="19"/>
  <c r="M80" i="19"/>
  <c r="M80" i="13"/>
  <c r="K16" i="10"/>
  <c r="G16" i="11"/>
  <c r="J16" i="11" s="1"/>
  <c r="N74" i="13"/>
  <c r="N74" i="19"/>
  <c r="J54" i="10"/>
  <c r="G54" i="11"/>
  <c r="K54" i="10"/>
  <c r="M11" i="13"/>
  <c r="M11" i="19"/>
  <c r="N47" i="13"/>
  <c r="N47" i="19"/>
  <c r="G24" i="11"/>
  <c r="J24" i="10"/>
  <c r="K24" i="10"/>
  <c r="N91" i="19"/>
  <c r="N91" i="13"/>
  <c r="N29" i="13"/>
  <c r="N29" i="19"/>
  <c r="N48" i="19"/>
  <c r="N48" i="13"/>
  <c r="J63" i="10"/>
  <c r="G63" i="11"/>
  <c r="K63" i="10"/>
  <c r="G85" i="11"/>
  <c r="K85" i="10"/>
  <c r="J85" i="10"/>
  <c r="J55" i="10"/>
  <c r="G55" i="11"/>
  <c r="K55" i="10"/>
  <c r="M85" i="19"/>
  <c r="M85" i="13"/>
  <c r="E81" i="19"/>
  <c r="E81" i="13"/>
  <c r="A81" i="19"/>
  <c r="A81" i="13"/>
  <c r="E30" i="19"/>
  <c r="E30" i="13"/>
  <c r="E42" i="13"/>
  <c r="E42" i="19"/>
  <c r="F30" i="13"/>
  <c r="F30" i="19"/>
  <c r="F42" i="19"/>
  <c r="F42" i="13"/>
  <c r="K53" i="12"/>
  <c r="A52" i="13" s="1"/>
  <c r="J53" i="12"/>
  <c r="B52" i="13" s="1"/>
  <c r="J31" i="12"/>
  <c r="K31" i="12"/>
  <c r="K43" i="12"/>
  <c r="J43" i="12"/>
  <c r="J15" i="19"/>
  <c r="J15" i="13"/>
  <c r="J63" i="13"/>
  <c r="J63" i="19"/>
  <c r="J9" i="19"/>
  <c r="J9" i="13"/>
  <c r="B22" i="13"/>
  <c r="K33" i="12"/>
  <c r="A32" i="13" s="1"/>
  <c r="J33" i="12"/>
  <c r="B32" i="13" s="1"/>
  <c r="H5" i="9"/>
  <c r="J5" i="8"/>
  <c r="R4" i="13" s="1"/>
  <c r="J13" i="19"/>
  <c r="J13" i="13"/>
  <c r="E27" i="19"/>
  <c r="E27" i="13"/>
  <c r="B88" i="19"/>
  <c r="F22" i="13"/>
  <c r="F22" i="19"/>
  <c r="AQ39" i="15"/>
  <c r="AR39" i="15" s="1"/>
  <c r="AQ40" i="15"/>
  <c r="AR40" i="15" s="1"/>
  <c r="AQ42" i="15"/>
  <c r="AR42" i="15" s="1"/>
  <c r="AQ43" i="15"/>
  <c r="AR43" i="15" s="1"/>
  <c r="AQ38" i="15"/>
  <c r="AR38" i="15" s="1"/>
  <c r="AQ41" i="15"/>
  <c r="AR41" i="15" s="1"/>
  <c r="AQ44" i="15"/>
  <c r="AR44" i="15" s="1"/>
  <c r="AQ37" i="15"/>
  <c r="AR37" i="15" s="1"/>
  <c r="E28" i="13"/>
  <c r="E28" i="19"/>
  <c r="H14" i="12"/>
  <c r="J14" i="11"/>
  <c r="J27" i="10"/>
  <c r="J26" i="13" s="1"/>
  <c r="H27" i="11"/>
  <c r="K57" i="12"/>
  <c r="J57" i="12"/>
  <c r="E57" i="19"/>
  <c r="E57" i="13"/>
  <c r="H21" i="11"/>
  <c r="J21" i="10"/>
  <c r="J20" i="13" s="1"/>
  <c r="H77" i="11"/>
  <c r="J77" i="10"/>
  <c r="J76" i="13" s="1"/>
  <c r="B70" i="13"/>
  <c r="B70" i="19"/>
  <c r="J28" i="12"/>
  <c r="K28" i="12"/>
  <c r="F57" i="13"/>
  <c r="F57" i="19"/>
  <c r="K29" i="12"/>
  <c r="J29" i="12"/>
  <c r="H64" i="12"/>
  <c r="J64" i="12" s="1"/>
  <c r="J64" i="11"/>
  <c r="F56" i="19"/>
  <c r="F56" i="13"/>
  <c r="H10" i="12"/>
  <c r="J10" i="12" s="1"/>
  <c r="J10" i="11"/>
  <c r="H16" i="12"/>
  <c r="K58" i="12"/>
  <c r="J58" i="12"/>
  <c r="F88" i="13"/>
  <c r="F88" i="19"/>
  <c r="A70" i="13"/>
  <c r="A70" i="19"/>
  <c r="F28" i="13"/>
  <c r="F28" i="19"/>
  <c r="E56" i="19"/>
  <c r="E56" i="13"/>
  <c r="F27" i="13"/>
  <c r="F27" i="19"/>
  <c r="H6" i="10"/>
  <c r="J6" i="9"/>
  <c r="N5" i="13" s="1"/>
  <c r="E92" i="13"/>
  <c r="E92" i="19"/>
  <c r="E66" i="19"/>
  <c r="E66" i="13"/>
  <c r="E12" i="13"/>
  <c r="E12" i="19"/>
  <c r="F81" i="19"/>
  <c r="F81" i="13"/>
  <c r="E72" i="19"/>
  <c r="E72" i="13"/>
  <c r="E10" i="13"/>
  <c r="E10" i="19"/>
  <c r="J67" i="12"/>
  <c r="K67" i="12"/>
  <c r="F12" i="13"/>
  <c r="F12" i="19"/>
  <c r="K36" i="12"/>
  <c r="J36" i="12"/>
  <c r="K37" i="12"/>
  <c r="J37" i="12"/>
  <c r="F72" i="13"/>
  <c r="F72" i="19"/>
  <c r="K47" i="12"/>
  <c r="J47" i="12"/>
  <c r="F66" i="13"/>
  <c r="F66" i="19"/>
  <c r="F35" i="19"/>
  <c r="F35" i="13"/>
  <c r="F36" i="19"/>
  <c r="F36" i="13"/>
  <c r="J73" i="12"/>
  <c r="K73" i="12"/>
  <c r="K11" i="12"/>
  <c r="J11" i="12"/>
  <c r="B55" i="13"/>
  <c r="B55" i="19"/>
  <c r="F46" i="19"/>
  <c r="F46" i="13"/>
  <c r="F8" i="13"/>
  <c r="F8" i="19"/>
  <c r="E36" i="13"/>
  <c r="E36" i="19"/>
  <c r="B18" i="13"/>
  <c r="B18" i="19"/>
  <c r="A55" i="13"/>
  <c r="A55" i="19"/>
  <c r="K93" i="12"/>
  <c r="J93" i="12"/>
  <c r="K13" i="12"/>
  <c r="J13" i="12"/>
  <c r="B8" i="13"/>
  <c r="B8" i="19"/>
  <c r="E35" i="13"/>
  <c r="E35" i="19"/>
  <c r="A18" i="19"/>
  <c r="A18" i="13"/>
  <c r="F10" i="13"/>
  <c r="F10" i="19"/>
  <c r="E46" i="13"/>
  <c r="E46" i="19"/>
  <c r="F92" i="13"/>
  <c r="F92" i="19"/>
  <c r="H35" i="12"/>
  <c r="J14" i="12" l="1"/>
  <c r="B13" i="19" s="1"/>
  <c r="A13" i="19"/>
  <c r="J39" i="12"/>
  <c r="K39" i="12"/>
  <c r="E38" i="13"/>
  <c r="E38" i="19"/>
  <c r="F38" i="13"/>
  <c r="F38" i="19"/>
  <c r="N101" i="19"/>
  <c r="N111" i="19" s="1"/>
  <c r="N102" i="19"/>
  <c r="N112" i="19" s="1"/>
  <c r="B81" i="19"/>
  <c r="N103" i="19"/>
  <c r="N113" i="19" s="1"/>
  <c r="A83" i="20"/>
  <c r="N104" i="19"/>
  <c r="N114" i="19" s="1"/>
  <c r="A58" i="20"/>
  <c r="E13" i="13"/>
  <c r="E13" i="19"/>
  <c r="M103" i="19"/>
  <c r="M113" i="19" s="1"/>
  <c r="M102" i="19"/>
  <c r="M112" i="19" s="1"/>
  <c r="M105" i="19"/>
  <c r="M115" i="19" s="1"/>
  <c r="M101" i="19"/>
  <c r="M111" i="19" s="1"/>
  <c r="M104" i="19"/>
  <c r="M114" i="19" s="1"/>
  <c r="J49" i="13"/>
  <c r="J49" i="19"/>
  <c r="J60" i="11"/>
  <c r="F59" i="13" s="1"/>
  <c r="G60" i="12"/>
  <c r="K60" i="11"/>
  <c r="E59" i="13" s="1"/>
  <c r="A35" i="20"/>
  <c r="A39" i="20"/>
  <c r="A67" i="20"/>
  <c r="A24" i="20"/>
  <c r="A7" i="20"/>
  <c r="A52" i="20"/>
  <c r="A19" i="20"/>
  <c r="A89" i="20"/>
  <c r="A33" i="20"/>
  <c r="A9" i="20"/>
  <c r="A63" i="20"/>
  <c r="A78" i="20"/>
  <c r="A10" i="20"/>
  <c r="A27" i="20"/>
  <c r="A53" i="20"/>
  <c r="A6" i="20"/>
  <c r="A60" i="20"/>
  <c r="A54" i="20"/>
  <c r="A5" i="20"/>
  <c r="A85" i="20"/>
  <c r="A15" i="20"/>
  <c r="A25" i="20"/>
  <c r="A43" i="20"/>
  <c r="A69" i="20"/>
  <c r="I31" i="13"/>
  <c r="I31" i="19"/>
  <c r="R109" i="19"/>
  <c r="R119" i="19" s="1"/>
  <c r="R110" i="19"/>
  <c r="R120" i="19" s="1"/>
  <c r="R106" i="19"/>
  <c r="R116" i="19" s="1"/>
  <c r="R108" i="19"/>
  <c r="R118" i="19" s="1"/>
  <c r="N105" i="19"/>
  <c r="N115" i="19" s="1"/>
  <c r="N100" i="19"/>
  <c r="N106" i="19" s="1"/>
  <c r="N116" i="19" s="1"/>
  <c r="J50" i="11"/>
  <c r="G50" i="12"/>
  <c r="K50" i="11"/>
  <c r="A46" i="20"/>
  <c r="J31" i="13"/>
  <c r="J31" i="19"/>
  <c r="H91" i="12"/>
  <c r="J91" i="12" s="1"/>
  <c r="B90" i="13" s="1"/>
  <c r="J91" i="11"/>
  <c r="F90" i="13" s="1"/>
  <c r="I49" i="13"/>
  <c r="I49" i="19"/>
  <c r="K32" i="11"/>
  <c r="J32" i="11"/>
  <c r="G32" i="12"/>
  <c r="A28" i="20"/>
  <c r="J84" i="19"/>
  <c r="J84" i="13"/>
  <c r="K63" i="11"/>
  <c r="G63" i="12"/>
  <c r="J63" i="11"/>
  <c r="A59" i="20"/>
  <c r="I23" i="13"/>
  <c r="I23" i="19"/>
  <c r="A50" i="20"/>
  <c r="J54" i="11"/>
  <c r="K54" i="11"/>
  <c r="G54" i="12"/>
  <c r="G16" i="12"/>
  <c r="K16" i="12" s="1"/>
  <c r="K16" i="11"/>
  <c r="A12" i="20"/>
  <c r="J75" i="19"/>
  <c r="J75" i="13"/>
  <c r="J40" i="13"/>
  <c r="J40" i="19"/>
  <c r="J73" i="19"/>
  <c r="J73" i="13"/>
  <c r="K51" i="11"/>
  <c r="G51" i="12"/>
  <c r="J51" i="11"/>
  <c r="A47" i="20"/>
  <c r="J14" i="19"/>
  <c r="J14" i="13"/>
  <c r="J45" i="13"/>
  <c r="J45" i="19"/>
  <c r="I16" i="19"/>
  <c r="I16" i="13"/>
  <c r="K86" i="11"/>
  <c r="G86" i="12"/>
  <c r="A82" i="20"/>
  <c r="J86" i="11"/>
  <c r="G8" i="12"/>
  <c r="K8" i="11"/>
  <c r="E7" i="13" s="1"/>
  <c r="J8" i="11"/>
  <c r="F7" i="13" s="1"/>
  <c r="J48" i="13"/>
  <c r="J48" i="19"/>
  <c r="J30" i="11"/>
  <c r="G30" i="12"/>
  <c r="K30" i="11"/>
  <c r="A26" i="20"/>
  <c r="A44" i="20"/>
  <c r="K48" i="11"/>
  <c r="G48" i="12"/>
  <c r="J48" i="11"/>
  <c r="J75" i="11"/>
  <c r="G75" i="12"/>
  <c r="K75" i="11"/>
  <c r="A71" i="20"/>
  <c r="J64" i="13"/>
  <c r="J64" i="19"/>
  <c r="J11" i="19"/>
  <c r="J11" i="13"/>
  <c r="A76" i="20"/>
  <c r="J80" i="11"/>
  <c r="K80" i="11"/>
  <c r="G80" i="12"/>
  <c r="A65" i="20"/>
  <c r="J69" i="11"/>
  <c r="K69" i="11"/>
  <c r="G69" i="12"/>
  <c r="J21" i="19"/>
  <c r="J21" i="13"/>
  <c r="I37" i="19"/>
  <c r="I37" i="13"/>
  <c r="K68" i="11"/>
  <c r="J68" i="11"/>
  <c r="A64" i="20"/>
  <c r="G68" i="12"/>
  <c r="A40" i="20"/>
  <c r="K44" i="11"/>
  <c r="G44" i="12"/>
  <c r="J44" i="11"/>
  <c r="J25" i="11"/>
  <c r="F24" i="13" s="1"/>
  <c r="G25" i="12"/>
  <c r="K25" i="11"/>
  <c r="E24" i="13" s="1"/>
  <c r="J80" i="19"/>
  <c r="J80" i="13"/>
  <c r="A68" i="20"/>
  <c r="J72" i="11"/>
  <c r="G72" i="12"/>
  <c r="K72" i="11"/>
  <c r="J95" i="13"/>
  <c r="J95" i="19"/>
  <c r="I41" i="19"/>
  <c r="I41" i="13"/>
  <c r="J87" i="13"/>
  <c r="J87" i="19"/>
  <c r="G6" i="12"/>
  <c r="K6" i="12" s="1"/>
  <c r="A5" i="13" s="1"/>
  <c r="K6" i="11"/>
  <c r="E5" i="13" s="1"/>
  <c r="E61" i="13"/>
  <c r="E61" i="19"/>
  <c r="I54" i="19"/>
  <c r="I54" i="13"/>
  <c r="I84" i="19"/>
  <c r="I84" i="13"/>
  <c r="J62" i="19"/>
  <c r="J62" i="13"/>
  <c r="J23" i="19"/>
  <c r="J23" i="13"/>
  <c r="M100" i="19"/>
  <c r="J53" i="13"/>
  <c r="J53" i="19"/>
  <c r="I15" i="19"/>
  <c r="I15" i="13"/>
  <c r="I75" i="19"/>
  <c r="I75" i="13"/>
  <c r="K41" i="11"/>
  <c r="A37" i="20"/>
  <c r="G41" i="12"/>
  <c r="J41" i="11"/>
  <c r="I50" i="19"/>
  <c r="I50" i="13"/>
  <c r="J83" i="13"/>
  <c r="J83" i="19"/>
  <c r="J46" i="11"/>
  <c r="G46" i="12"/>
  <c r="K46" i="11"/>
  <c r="A42" i="20"/>
  <c r="K17" i="11"/>
  <c r="A13" i="20"/>
  <c r="J17" i="11"/>
  <c r="G17" i="12"/>
  <c r="I85" i="13"/>
  <c r="I85" i="19"/>
  <c r="I48" i="19"/>
  <c r="I48" i="13"/>
  <c r="I91" i="19"/>
  <c r="I91" i="13"/>
  <c r="J47" i="19"/>
  <c r="J47" i="13"/>
  <c r="J74" i="13"/>
  <c r="J74" i="19"/>
  <c r="G18" i="12"/>
  <c r="J18" i="11"/>
  <c r="K18" i="11"/>
  <c r="A14" i="20"/>
  <c r="I44" i="13"/>
  <c r="I44" i="19"/>
  <c r="E86" i="19"/>
  <c r="E86" i="13"/>
  <c r="I11" i="19"/>
  <c r="I11" i="13"/>
  <c r="I69" i="19"/>
  <c r="I69" i="13"/>
  <c r="I39" i="19"/>
  <c r="I39" i="13"/>
  <c r="I21" i="19"/>
  <c r="I21" i="13"/>
  <c r="J37" i="19"/>
  <c r="J37" i="13"/>
  <c r="H79" i="12"/>
  <c r="J79" i="12" s="1"/>
  <c r="B78" i="13" s="1"/>
  <c r="J79" i="11"/>
  <c r="F78" i="13" s="1"/>
  <c r="J67" i="19"/>
  <c r="J67" i="13"/>
  <c r="J43" i="13"/>
  <c r="J43" i="19"/>
  <c r="K81" i="11"/>
  <c r="J81" i="11"/>
  <c r="G81" i="12"/>
  <c r="A77" i="20"/>
  <c r="J71" i="19"/>
  <c r="J71" i="13"/>
  <c r="I95" i="13"/>
  <c r="I95" i="19"/>
  <c r="J41" i="13"/>
  <c r="J41" i="19"/>
  <c r="J58" i="19"/>
  <c r="J58" i="13"/>
  <c r="K62" i="12"/>
  <c r="J62" i="12"/>
  <c r="J55" i="11"/>
  <c r="G55" i="12"/>
  <c r="K55" i="11"/>
  <c r="A51" i="20"/>
  <c r="K85" i="11"/>
  <c r="G85" i="12"/>
  <c r="A81" i="20"/>
  <c r="J85" i="11"/>
  <c r="J24" i="11"/>
  <c r="A20" i="20"/>
  <c r="G24" i="12"/>
  <c r="K24" i="11"/>
  <c r="J76" i="11"/>
  <c r="G76" i="12"/>
  <c r="K76" i="11"/>
  <c r="A72" i="20"/>
  <c r="K74" i="11"/>
  <c r="G74" i="12"/>
  <c r="J74" i="11"/>
  <c r="A70" i="20"/>
  <c r="I14" i="19"/>
  <c r="I14" i="13"/>
  <c r="K84" i="11"/>
  <c r="J84" i="11"/>
  <c r="G84" i="12"/>
  <c r="A80" i="20"/>
  <c r="I45" i="19"/>
  <c r="I45" i="13"/>
  <c r="I29" i="13"/>
  <c r="I29" i="19"/>
  <c r="K92" i="11"/>
  <c r="G92" i="12"/>
  <c r="J92" i="11"/>
  <c r="A88" i="20"/>
  <c r="I47" i="19"/>
  <c r="I47" i="13"/>
  <c r="I74" i="19"/>
  <c r="I74" i="13"/>
  <c r="J17" i="19"/>
  <c r="J17" i="13"/>
  <c r="I64" i="19"/>
  <c r="I64" i="13"/>
  <c r="K45" i="11"/>
  <c r="G45" i="12"/>
  <c r="A41" i="20"/>
  <c r="J45" i="11"/>
  <c r="F86" i="19"/>
  <c r="F86" i="13"/>
  <c r="I79" i="13"/>
  <c r="I79" i="19"/>
  <c r="K70" i="11"/>
  <c r="J70" i="11"/>
  <c r="G70" i="12"/>
  <c r="A66" i="20"/>
  <c r="J68" i="19"/>
  <c r="J68" i="13"/>
  <c r="A36" i="20"/>
  <c r="K40" i="11"/>
  <c r="G40" i="12"/>
  <c r="J40" i="11"/>
  <c r="K22" i="11"/>
  <c r="G22" i="12"/>
  <c r="A18" i="20"/>
  <c r="J22" i="11"/>
  <c r="Q107" i="19"/>
  <c r="Q117" i="19" s="1"/>
  <c r="Q108" i="19"/>
  <c r="Q118" i="19" s="1"/>
  <c r="Q109" i="19"/>
  <c r="Q119" i="19" s="1"/>
  <c r="Q106" i="19"/>
  <c r="Q116" i="19" s="1"/>
  <c r="Q110" i="19"/>
  <c r="Q120" i="19" s="1"/>
  <c r="G21" i="12"/>
  <c r="K21" i="12" s="1"/>
  <c r="A20" i="13" s="1"/>
  <c r="K21" i="11"/>
  <c r="E20" i="13" s="1"/>
  <c r="I71" i="19"/>
  <c r="I71" i="13"/>
  <c r="G35" i="12"/>
  <c r="K35" i="12" s="1"/>
  <c r="A34" i="13" s="1"/>
  <c r="K35" i="11"/>
  <c r="E34" i="13" s="1"/>
  <c r="G42" i="12"/>
  <c r="J42" i="11"/>
  <c r="K42" i="11"/>
  <c r="A38" i="20"/>
  <c r="I58" i="13"/>
  <c r="I58" i="19"/>
  <c r="I87" i="19"/>
  <c r="I87" i="13"/>
  <c r="J54" i="13"/>
  <c r="J54" i="19"/>
  <c r="I62" i="19"/>
  <c r="I62" i="13"/>
  <c r="I53" i="19"/>
  <c r="I53" i="13"/>
  <c r="I40" i="19"/>
  <c r="I40" i="13"/>
  <c r="I73" i="19"/>
  <c r="I73" i="13"/>
  <c r="J50" i="13"/>
  <c r="J50" i="19"/>
  <c r="G15" i="12"/>
  <c r="A11" i="20"/>
  <c r="J15" i="11"/>
  <c r="K15" i="11"/>
  <c r="I83" i="13"/>
  <c r="I83" i="19"/>
  <c r="J16" i="19"/>
  <c r="J16" i="13"/>
  <c r="J85" i="19"/>
  <c r="J85" i="13"/>
  <c r="G49" i="12"/>
  <c r="J49" i="11"/>
  <c r="K49" i="11"/>
  <c r="A45" i="20"/>
  <c r="J29" i="13"/>
  <c r="J29" i="19"/>
  <c r="J91" i="19"/>
  <c r="J91" i="13"/>
  <c r="G83" i="12"/>
  <c r="K83" i="11"/>
  <c r="E82" i="13" s="1"/>
  <c r="J83" i="11"/>
  <c r="F82" i="13" s="1"/>
  <c r="I17" i="13"/>
  <c r="I17" i="19"/>
  <c r="K65" i="11"/>
  <c r="G65" i="12"/>
  <c r="J65" i="11"/>
  <c r="A61" i="20"/>
  <c r="J44" i="19"/>
  <c r="J44" i="13"/>
  <c r="K87" i="12"/>
  <c r="J87" i="12"/>
  <c r="K94" i="11"/>
  <c r="E93" i="13" s="1"/>
  <c r="J94" i="11"/>
  <c r="F93" i="13" s="1"/>
  <c r="G94" i="12"/>
  <c r="K12" i="11"/>
  <c r="G12" i="12"/>
  <c r="J12" i="11"/>
  <c r="A8" i="20"/>
  <c r="J79" i="19"/>
  <c r="J79" i="13"/>
  <c r="J69" i="19"/>
  <c r="J69" i="13"/>
  <c r="I68" i="19"/>
  <c r="I68" i="13"/>
  <c r="J39" i="13"/>
  <c r="J39" i="19"/>
  <c r="K38" i="11"/>
  <c r="G38" i="12"/>
  <c r="J38" i="11"/>
  <c r="A34" i="20"/>
  <c r="I67" i="19"/>
  <c r="I67" i="13"/>
  <c r="I43" i="19"/>
  <c r="I43" i="13"/>
  <c r="I80" i="13"/>
  <c r="I80" i="19"/>
  <c r="J96" i="11"/>
  <c r="G96" i="12"/>
  <c r="K96" i="11"/>
  <c r="J59" i="11"/>
  <c r="K59" i="11"/>
  <c r="G59" i="12"/>
  <c r="A55" i="20"/>
  <c r="J88" i="11"/>
  <c r="A84" i="20"/>
  <c r="K88" i="11"/>
  <c r="G88" i="12"/>
  <c r="F61" i="19"/>
  <c r="F61" i="13"/>
  <c r="B30" i="13"/>
  <c r="B30" i="19"/>
  <c r="B42" i="13"/>
  <c r="B42" i="19"/>
  <c r="A42" i="13"/>
  <c r="A42" i="19"/>
  <c r="A30" i="13"/>
  <c r="A30" i="19"/>
  <c r="H6" i="11"/>
  <c r="J6" i="10"/>
  <c r="J5" i="13" s="1"/>
  <c r="B9" i="13"/>
  <c r="B9" i="19"/>
  <c r="B63" i="13"/>
  <c r="B63" i="19"/>
  <c r="A27" i="19"/>
  <c r="A27" i="13"/>
  <c r="B56" i="19"/>
  <c r="B56" i="13"/>
  <c r="H27" i="12"/>
  <c r="J27" i="12" s="1"/>
  <c r="B26" i="13" s="1"/>
  <c r="J27" i="11"/>
  <c r="F26" i="13" s="1"/>
  <c r="B57" i="19"/>
  <c r="B57" i="13"/>
  <c r="F15" i="13"/>
  <c r="F15" i="19"/>
  <c r="B28" i="19"/>
  <c r="B28" i="13"/>
  <c r="B27" i="19"/>
  <c r="B27" i="13"/>
  <c r="H77" i="12"/>
  <c r="J77" i="12" s="1"/>
  <c r="B76" i="13" s="1"/>
  <c r="J77" i="11"/>
  <c r="F76" i="13" s="1"/>
  <c r="A56" i="13"/>
  <c r="A56" i="19"/>
  <c r="A57" i="13"/>
  <c r="A57" i="19"/>
  <c r="A28" i="13"/>
  <c r="A28" i="19"/>
  <c r="F13" i="13"/>
  <c r="F13" i="19"/>
  <c r="AI40" i="15"/>
  <c r="AJ40" i="15" s="1"/>
  <c r="AI41" i="15"/>
  <c r="AJ41" i="15" s="1"/>
  <c r="AI50" i="15"/>
  <c r="AJ50" i="15" s="1"/>
  <c r="AI51" i="15"/>
  <c r="AJ51" i="15" s="1"/>
  <c r="AI52" i="15"/>
  <c r="AJ52" i="15" s="1"/>
  <c r="AI53" i="15"/>
  <c r="AJ53" i="15" s="1"/>
  <c r="AI38" i="15"/>
  <c r="AJ38" i="15" s="1"/>
  <c r="AI49" i="15"/>
  <c r="AJ49" i="15" s="1"/>
  <c r="AI39" i="15"/>
  <c r="AJ39" i="15" s="1"/>
  <c r="AI45" i="15"/>
  <c r="AJ45" i="15" s="1"/>
  <c r="AI43" i="15"/>
  <c r="AJ43" i="15" s="1"/>
  <c r="AI42" i="15"/>
  <c r="AJ42" i="15" s="1"/>
  <c r="AI37" i="15"/>
  <c r="AJ37" i="15" s="1"/>
  <c r="AI48" i="15"/>
  <c r="AJ48" i="15" s="1"/>
  <c r="AI47" i="15"/>
  <c r="AJ47" i="15" s="1"/>
  <c r="AI46" i="15"/>
  <c r="AJ46" i="15" s="1"/>
  <c r="AI44" i="15"/>
  <c r="AJ44" i="15" s="1"/>
  <c r="F9" i="19"/>
  <c r="F9" i="13"/>
  <c r="F63" i="13"/>
  <c r="F63" i="19"/>
  <c r="H21" i="12"/>
  <c r="J21" i="11"/>
  <c r="F20" i="13" s="1"/>
  <c r="J5" i="9"/>
  <c r="N4" i="13" s="1"/>
  <c r="H5" i="10"/>
  <c r="B12" i="13"/>
  <c r="B12" i="19"/>
  <c r="A72" i="13"/>
  <c r="A72" i="19"/>
  <c r="A46" i="13"/>
  <c r="A46" i="19"/>
  <c r="A36" i="13"/>
  <c r="A36" i="19"/>
  <c r="A35" i="13"/>
  <c r="A35" i="19"/>
  <c r="A12" i="19"/>
  <c r="A12" i="13"/>
  <c r="B92" i="19"/>
  <c r="B92" i="13"/>
  <c r="B10" i="13"/>
  <c r="B10" i="19"/>
  <c r="B66" i="13"/>
  <c r="B66" i="19"/>
  <c r="A92" i="19"/>
  <c r="A92" i="13"/>
  <c r="A10" i="19"/>
  <c r="A10" i="13"/>
  <c r="B46" i="19"/>
  <c r="B46" i="13"/>
  <c r="B36" i="19"/>
  <c r="B36" i="13"/>
  <c r="B35" i="19"/>
  <c r="B35" i="13"/>
  <c r="B72" i="13"/>
  <c r="B72" i="19"/>
  <c r="A66" i="13"/>
  <c r="A66" i="19"/>
  <c r="B13" i="13" l="1"/>
  <c r="H10" i="20"/>
  <c r="G10" i="20" s="1"/>
  <c r="H11" i="20"/>
  <c r="G11" i="20" s="1"/>
  <c r="H12" i="20"/>
  <c r="G12" i="20" s="1"/>
  <c r="H13" i="20"/>
  <c r="G13" i="20" s="1"/>
  <c r="H14" i="20"/>
  <c r="G14" i="20" s="1"/>
  <c r="H15" i="20"/>
  <c r="G15" i="20" s="1"/>
  <c r="H16" i="20"/>
  <c r="G16" i="20" s="1"/>
  <c r="H17" i="20"/>
  <c r="G17" i="20" s="1"/>
  <c r="H18" i="20"/>
  <c r="G18" i="20" s="1"/>
  <c r="H19" i="20"/>
  <c r="G19" i="20" s="1"/>
  <c r="H20" i="20"/>
  <c r="G20" i="20" s="1"/>
  <c r="H21" i="20"/>
  <c r="G21" i="20" s="1"/>
  <c r="H22" i="20"/>
  <c r="G22" i="20" s="1"/>
  <c r="J21" i="12"/>
  <c r="B20" i="13" s="1"/>
  <c r="H3" i="20"/>
  <c r="G3" i="20" s="1"/>
  <c r="H4" i="20"/>
  <c r="G4" i="20" s="1"/>
  <c r="H5" i="20"/>
  <c r="G5" i="20" s="1"/>
  <c r="H6" i="20"/>
  <c r="G6" i="20" s="1"/>
  <c r="H7" i="20"/>
  <c r="G7" i="20" s="1"/>
  <c r="H8" i="20"/>
  <c r="G8" i="20" s="1"/>
  <c r="H9" i="20"/>
  <c r="G9" i="20" s="1"/>
  <c r="N107" i="19"/>
  <c r="N117" i="19" s="1"/>
  <c r="A38" i="13"/>
  <c r="A38" i="19"/>
  <c r="N108" i="19"/>
  <c r="N118" i="19" s="1"/>
  <c r="B38" i="13"/>
  <c r="B38" i="19"/>
  <c r="J103" i="19"/>
  <c r="J113" i="19" s="1"/>
  <c r="F31" i="13"/>
  <c r="F31" i="19"/>
  <c r="J104" i="19"/>
  <c r="J114" i="19" s="1"/>
  <c r="J101" i="19"/>
  <c r="J111" i="19" s="1"/>
  <c r="J105" i="19"/>
  <c r="J115" i="19" s="1"/>
  <c r="I102" i="19"/>
  <c r="I112" i="19" s="1"/>
  <c r="I104" i="19"/>
  <c r="I114" i="19" s="1"/>
  <c r="I105" i="19"/>
  <c r="I115" i="19" s="1"/>
  <c r="I103" i="19"/>
  <c r="I113" i="19" s="1"/>
  <c r="I101" i="19"/>
  <c r="I111" i="19" s="1"/>
  <c r="J102" i="19"/>
  <c r="J112" i="19" s="1"/>
  <c r="N109" i="19"/>
  <c r="N119" i="19" s="1"/>
  <c r="N110" i="19"/>
  <c r="N120" i="19" s="1"/>
  <c r="E31" i="19"/>
  <c r="E31" i="13"/>
  <c r="E49" i="19"/>
  <c r="E49" i="13"/>
  <c r="K32" i="12"/>
  <c r="J32" i="12"/>
  <c r="F49" i="13"/>
  <c r="F49" i="19"/>
  <c r="J16" i="12"/>
  <c r="J50" i="12"/>
  <c r="K50" i="12"/>
  <c r="K60" i="12"/>
  <c r="A59" i="13" s="1"/>
  <c r="J60" i="12"/>
  <c r="B59" i="13" s="1"/>
  <c r="K59" i="12"/>
  <c r="J59" i="12"/>
  <c r="E37" i="13"/>
  <c r="E37" i="19"/>
  <c r="E11" i="13"/>
  <c r="E11" i="19"/>
  <c r="E64" i="13"/>
  <c r="E64" i="19"/>
  <c r="E69" i="13"/>
  <c r="E69" i="19"/>
  <c r="E44" i="19"/>
  <c r="E44" i="13"/>
  <c r="E91" i="13"/>
  <c r="E91" i="19"/>
  <c r="E75" i="13"/>
  <c r="E75" i="19"/>
  <c r="F87" i="13"/>
  <c r="F87" i="19"/>
  <c r="F58" i="13"/>
  <c r="F58" i="19"/>
  <c r="F95" i="19"/>
  <c r="F95" i="13"/>
  <c r="F37" i="13"/>
  <c r="F37" i="19"/>
  <c r="F11" i="13"/>
  <c r="F11" i="19"/>
  <c r="J94" i="12"/>
  <c r="B93" i="13" s="1"/>
  <c r="K94" i="12"/>
  <c r="A93" i="13" s="1"/>
  <c r="A86" i="19"/>
  <c r="A86" i="13"/>
  <c r="F64" i="19"/>
  <c r="F64" i="13"/>
  <c r="K83" i="12"/>
  <c r="A82" i="13" s="1"/>
  <c r="J83" i="12"/>
  <c r="B82" i="13" s="1"/>
  <c r="K49" i="12"/>
  <c r="J49" i="12"/>
  <c r="F14" i="13"/>
  <c r="F14" i="19"/>
  <c r="E21" i="13"/>
  <c r="E21" i="19"/>
  <c r="J70" i="12"/>
  <c r="K70" i="12"/>
  <c r="F91" i="13"/>
  <c r="F91" i="19"/>
  <c r="J84" i="12"/>
  <c r="K84" i="12"/>
  <c r="E73" i="13"/>
  <c r="E73" i="19"/>
  <c r="F75" i="13"/>
  <c r="F75" i="19"/>
  <c r="F23" i="13"/>
  <c r="F23" i="19"/>
  <c r="E84" i="19"/>
  <c r="E84" i="13"/>
  <c r="F54" i="13"/>
  <c r="F54" i="19"/>
  <c r="J81" i="12"/>
  <c r="K81" i="12"/>
  <c r="E17" i="13"/>
  <c r="E17" i="19"/>
  <c r="E16" i="13"/>
  <c r="E16" i="19"/>
  <c r="F45" i="13"/>
  <c r="F45" i="19"/>
  <c r="E40" i="19"/>
  <c r="E40" i="13"/>
  <c r="J72" i="12"/>
  <c r="K72" i="12"/>
  <c r="E67" i="19"/>
  <c r="E67" i="13"/>
  <c r="F74" i="13"/>
  <c r="F74" i="19"/>
  <c r="F29" i="13"/>
  <c r="F29" i="19"/>
  <c r="E50" i="13"/>
  <c r="E50" i="19"/>
  <c r="E15" i="13"/>
  <c r="E15" i="19"/>
  <c r="F53" i="19"/>
  <c r="F53" i="13"/>
  <c r="J88" i="12"/>
  <c r="K88" i="12"/>
  <c r="E95" i="13"/>
  <c r="E95" i="19"/>
  <c r="J38" i="12"/>
  <c r="K38" i="12"/>
  <c r="J12" i="12"/>
  <c r="K12" i="12"/>
  <c r="J65" i="12"/>
  <c r="K65" i="12"/>
  <c r="E41" i="19"/>
  <c r="E41" i="13"/>
  <c r="F21" i="19"/>
  <c r="F21" i="13"/>
  <c r="F39" i="19"/>
  <c r="F39" i="13"/>
  <c r="F69" i="13"/>
  <c r="F69" i="19"/>
  <c r="K45" i="12"/>
  <c r="J45" i="12"/>
  <c r="K92" i="12"/>
  <c r="J92" i="12"/>
  <c r="F83" i="19"/>
  <c r="F83" i="13"/>
  <c r="E23" i="13"/>
  <c r="E23" i="19"/>
  <c r="F84" i="19"/>
  <c r="F84" i="13"/>
  <c r="B61" i="13"/>
  <c r="B61" i="19"/>
  <c r="F80" i="13"/>
  <c r="F80" i="19"/>
  <c r="F17" i="13"/>
  <c r="F17" i="19"/>
  <c r="K17" i="12"/>
  <c r="J17" i="12"/>
  <c r="F40" i="19"/>
  <c r="F40" i="13"/>
  <c r="F71" i="13"/>
  <c r="F71" i="19"/>
  <c r="F43" i="19"/>
  <c r="F43" i="13"/>
  <c r="K68" i="12"/>
  <c r="J68" i="12"/>
  <c r="J69" i="12"/>
  <c r="K69" i="12"/>
  <c r="K80" i="12"/>
  <c r="J80" i="12"/>
  <c r="F47" i="13"/>
  <c r="F47" i="19"/>
  <c r="K86" i="12"/>
  <c r="J86" i="12"/>
  <c r="A15" i="19"/>
  <c r="A15" i="13"/>
  <c r="F62" i="13"/>
  <c r="F62" i="19"/>
  <c r="E87" i="19"/>
  <c r="E87" i="13"/>
  <c r="E48" i="13"/>
  <c r="E48" i="19"/>
  <c r="K15" i="12"/>
  <c r="J15" i="12"/>
  <c r="F41" i="19"/>
  <c r="F41" i="13"/>
  <c r="K40" i="12"/>
  <c r="J40" i="12"/>
  <c r="E83" i="13"/>
  <c r="E83" i="19"/>
  <c r="F73" i="13"/>
  <c r="F73" i="19"/>
  <c r="K24" i="12"/>
  <c r="J24" i="12"/>
  <c r="E54" i="19"/>
  <c r="E54" i="13"/>
  <c r="A61" i="13"/>
  <c r="A61" i="19"/>
  <c r="E80" i="19"/>
  <c r="E80" i="13"/>
  <c r="I100" i="19"/>
  <c r="K18" i="12"/>
  <c r="J18" i="12"/>
  <c r="F16" i="19"/>
  <c r="F16" i="13"/>
  <c r="E45" i="13"/>
  <c r="E45" i="19"/>
  <c r="J41" i="12"/>
  <c r="K41" i="12"/>
  <c r="K25" i="12"/>
  <c r="A24" i="13" s="1"/>
  <c r="J25" i="12"/>
  <c r="B24" i="13" s="1"/>
  <c r="K44" i="12"/>
  <c r="J44" i="12"/>
  <c r="E68" i="19"/>
  <c r="E68" i="13"/>
  <c r="E79" i="19"/>
  <c r="E79" i="13"/>
  <c r="J100" i="19"/>
  <c r="E74" i="19"/>
  <c r="E74" i="13"/>
  <c r="K48" i="12"/>
  <c r="J48" i="12"/>
  <c r="E29" i="13"/>
  <c r="E29" i="19"/>
  <c r="J8" i="12"/>
  <c r="B7" i="13" s="1"/>
  <c r="K8" i="12"/>
  <c r="A7" i="13" s="1"/>
  <c r="E85" i="13"/>
  <c r="E85" i="19"/>
  <c r="F50" i="19"/>
  <c r="F50" i="13"/>
  <c r="K54" i="12"/>
  <c r="J54" i="12"/>
  <c r="J63" i="12"/>
  <c r="K63" i="12"/>
  <c r="J35" i="12"/>
  <c r="B34" i="13" s="1"/>
  <c r="E58" i="13"/>
  <c r="E58" i="19"/>
  <c r="K96" i="12"/>
  <c r="J96" i="12"/>
  <c r="B86" i="19"/>
  <c r="B86" i="13"/>
  <c r="F48" i="13"/>
  <c r="F48" i="19"/>
  <c r="E14" i="13"/>
  <c r="E14" i="19"/>
  <c r="K42" i="12"/>
  <c r="J42" i="12"/>
  <c r="J22" i="12"/>
  <c r="K22" i="12"/>
  <c r="E39" i="19"/>
  <c r="E39" i="13"/>
  <c r="F44" i="19"/>
  <c r="F44" i="13"/>
  <c r="J74" i="12"/>
  <c r="K74" i="12"/>
  <c r="K76" i="12"/>
  <c r="J76" i="12"/>
  <c r="K85" i="12"/>
  <c r="J85" i="12"/>
  <c r="K55" i="12"/>
  <c r="J55" i="12"/>
  <c r="J46" i="12"/>
  <c r="K46" i="12"/>
  <c r="M109" i="19"/>
  <c r="M119" i="19" s="1"/>
  <c r="M106" i="19"/>
  <c r="M116" i="19" s="1"/>
  <c r="M107" i="19"/>
  <c r="M117" i="19" s="1"/>
  <c r="M110" i="19"/>
  <c r="M120" i="19" s="1"/>
  <c r="M108" i="19"/>
  <c r="M118" i="19" s="1"/>
  <c r="E71" i="19"/>
  <c r="E71" i="13"/>
  <c r="E43" i="13"/>
  <c r="E43" i="19"/>
  <c r="F67" i="19"/>
  <c r="F67" i="13"/>
  <c r="F68" i="13"/>
  <c r="F68" i="19"/>
  <c r="F79" i="13"/>
  <c r="F79" i="19"/>
  <c r="K75" i="12"/>
  <c r="J75" i="12"/>
  <c r="E47" i="13"/>
  <c r="E47" i="19"/>
  <c r="J30" i="12"/>
  <c r="K30" i="12"/>
  <c r="F85" i="13"/>
  <c r="F85" i="19"/>
  <c r="J51" i="12"/>
  <c r="K51" i="12"/>
  <c r="E53" i="19"/>
  <c r="E53" i="13"/>
  <c r="E62" i="19"/>
  <c r="E62" i="13"/>
  <c r="H5" i="11"/>
  <c r="J5" i="10"/>
  <c r="J4" i="13" s="1"/>
  <c r="H6" i="12"/>
  <c r="J6" i="12" s="1"/>
  <c r="B5" i="13" s="1"/>
  <c r="J6" i="11"/>
  <c r="F5" i="13" s="1"/>
  <c r="F10" i="20"/>
  <c r="F8" i="20"/>
  <c r="F4" i="20"/>
  <c r="F13" i="20"/>
  <c r="F21" i="20"/>
  <c r="F11" i="20"/>
  <c r="F6" i="20"/>
  <c r="F9" i="20"/>
  <c r="F18" i="20"/>
  <c r="F22" i="20"/>
  <c r="F17" i="20"/>
  <c r="F5" i="20"/>
  <c r="F14" i="20"/>
  <c r="F15" i="20"/>
  <c r="F19" i="20"/>
  <c r="F16" i="20"/>
  <c r="F7" i="20"/>
  <c r="F12" i="20"/>
  <c r="F20" i="20"/>
  <c r="F3" i="20"/>
  <c r="U31" i="20" l="1"/>
  <c r="U34" i="20"/>
  <c r="F101" i="19"/>
  <c r="F111" i="19" s="1"/>
  <c r="F102" i="19"/>
  <c r="F112" i="19" s="1"/>
  <c r="F104" i="19"/>
  <c r="F114" i="19" s="1"/>
  <c r="B15" i="19"/>
  <c r="B15" i="13"/>
  <c r="A31" i="13"/>
  <c r="A31" i="19"/>
  <c r="F105" i="19"/>
  <c r="F115" i="19" s="1"/>
  <c r="B49" i="19"/>
  <c r="B49" i="13"/>
  <c r="B31" i="19"/>
  <c r="B31" i="13"/>
  <c r="F103" i="19"/>
  <c r="F113" i="19" s="1"/>
  <c r="F100" i="19"/>
  <c r="F109" i="19" s="1"/>
  <c r="F119" i="19" s="1"/>
  <c r="E101" i="19"/>
  <c r="E111" i="19" s="1"/>
  <c r="E105" i="19"/>
  <c r="E115" i="19" s="1"/>
  <c r="E104" i="19"/>
  <c r="E114" i="19" s="1"/>
  <c r="E103" i="19"/>
  <c r="E113" i="19" s="1"/>
  <c r="E102" i="19"/>
  <c r="E112" i="19" s="1"/>
  <c r="A49" i="19"/>
  <c r="A49" i="13"/>
  <c r="A84" i="13"/>
  <c r="A84" i="19"/>
  <c r="A95" i="19"/>
  <c r="A95" i="13"/>
  <c r="A62" i="19"/>
  <c r="A62" i="13"/>
  <c r="B47" i="13"/>
  <c r="B47" i="19"/>
  <c r="A50" i="19"/>
  <c r="A50" i="13"/>
  <c r="A29" i="13"/>
  <c r="A29" i="19"/>
  <c r="B74" i="13"/>
  <c r="B74" i="19"/>
  <c r="A54" i="13"/>
  <c r="A54" i="19"/>
  <c r="A75" i="13"/>
  <c r="A75" i="19"/>
  <c r="B21" i="19"/>
  <c r="B21" i="13"/>
  <c r="B53" i="19"/>
  <c r="B53" i="13"/>
  <c r="A43" i="19"/>
  <c r="A43" i="13"/>
  <c r="A17" i="13"/>
  <c r="A17" i="19"/>
  <c r="B23" i="19"/>
  <c r="B23" i="13"/>
  <c r="B85" i="13"/>
  <c r="B85" i="19"/>
  <c r="B79" i="13"/>
  <c r="B79" i="19"/>
  <c r="B67" i="13"/>
  <c r="B67" i="19"/>
  <c r="B16" i="19"/>
  <c r="B16" i="13"/>
  <c r="B44" i="19"/>
  <c r="B44" i="13"/>
  <c r="A11" i="13"/>
  <c r="A11" i="19"/>
  <c r="A71" i="19"/>
  <c r="A71" i="13"/>
  <c r="B48" i="13"/>
  <c r="B48" i="19"/>
  <c r="B50" i="19"/>
  <c r="B50" i="13"/>
  <c r="B29" i="13"/>
  <c r="B29" i="19"/>
  <c r="A74" i="13"/>
  <c r="A74" i="19"/>
  <c r="A45" i="19"/>
  <c r="A45" i="13"/>
  <c r="B84" i="19"/>
  <c r="B84" i="13"/>
  <c r="A73" i="13"/>
  <c r="A73" i="19"/>
  <c r="B41" i="13"/>
  <c r="B41" i="19"/>
  <c r="B95" i="13"/>
  <c r="B95" i="19"/>
  <c r="A53" i="13"/>
  <c r="A53" i="19"/>
  <c r="A40" i="19"/>
  <c r="A40" i="13"/>
  <c r="I107" i="19"/>
  <c r="I117" i="19" s="1"/>
  <c r="I110" i="19"/>
  <c r="I120" i="19" s="1"/>
  <c r="I109" i="19"/>
  <c r="I119" i="19" s="1"/>
  <c r="I106" i="19"/>
  <c r="I116" i="19" s="1"/>
  <c r="I108" i="19"/>
  <c r="I118" i="19" s="1"/>
  <c r="A23" i="13"/>
  <c r="A23" i="19"/>
  <c r="A85" i="19"/>
  <c r="A85" i="13"/>
  <c r="A79" i="13"/>
  <c r="A79" i="19"/>
  <c r="A67" i="19"/>
  <c r="A67" i="13"/>
  <c r="A16" i="13"/>
  <c r="A16" i="19"/>
  <c r="A44" i="19"/>
  <c r="A44" i="13"/>
  <c r="B11" i="13"/>
  <c r="B11" i="19"/>
  <c r="B71" i="19"/>
  <c r="B71" i="13"/>
  <c r="A48" i="19"/>
  <c r="A48" i="13"/>
  <c r="B45" i="13"/>
  <c r="B45" i="19"/>
  <c r="B73" i="19"/>
  <c r="B73" i="13"/>
  <c r="A41" i="13"/>
  <c r="A41" i="19"/>
  <c r="J107" i="19"/>
  <c r="J117" i="19" s="1"/>
  <c r="J108" i="19"/>
  <c r="J118" i="19" s="1"/>
  <c r="J109" i="19"/>
  <c r="J119" i="19" s="1"/>
  <c r="J110" i="19"/>
  <c r="J120" i="19" s="1"/>
  <c r="J106" i="19"/>
  <c r="J116" i="19" s="1"/>
  <c r="B40" i="13"/>
  <c r="B40" i="19"/>
  <c r="B39" i="13"/>
  <c r="B39" i="19"/>
  <c r="B14" i="19"/>
  <c r="B14" i="13"/>
  <c r="A68" i="19"/>
  <c r="A68" i="13"/>
  <c r="B91" i="19"/>
  <c r="B91" i="13"/>
  <c r="A64" i="13"/>
  <c r="A64" i="19"/>
  <c r="A37" i="19"/>
  <c r="A37" i="13"/>
  <c r="A87" i="13"/>
  <c r="A87" i="19"/>
  <c r="A80" i="19"/>
  <c r="A80" i="13"/>
  <c r="A83" i="19"/>
  <c r="A83" i="13"/>
  <c r="A69" i="19"/>
  <c r="A69" i="13"/>
  <c r="E100" i="19"/>
  <c r="B58" i="19"/>
  <c r="B58" i="13"/>
  <c r="B54" i="19"/>
  <c r="B54" i="13"/>
  <c r="B75" i="19"/>
  <c r="B75" i="13"/>
  <c r="A21" i="19"/>
  <c r="A21" i="13"/>
  <c r="B62" i="19"/>
  <c r="B62" i="13"/>
  <c r="A47" i="19"/>
  <c r="A47" i="13"/>
  <c r="B43" i="13"/>
  <c r="B43" i="19"/>
  <c r="B17" i="13"/>
  <c r="B17" i="19"/>
  <c r="A39" i="19"/>
  <c r="A39" i="13"/>
  <c r="A14" i="13"/>
  <c r="A14" i="19"/>
  <c r="B68" i="19"/>
  <c r="B68" i="13"/>
  <c r="A91" i="13"/>
  <c r="A91" i="19"/>
  <c r="B64" i="13"/>
  <c r="B64" i="19"/>
  <c r="B37" i="19"/>
  <c r="B37" i="13"/>
  <c r="B87" i="13"/>
  <c r="B87" i="19"/>
  <c r="B80" i="13"/>
  <c r="B80" i="19"/>
  <c r="B83" i="13"/>
  <c r="B83" i="19"/>
  <c r="B69" i="13"/>
  <c r="B69" i="19"/>
  <c r="A58" i="19"/>
  <c r="A58" i="13"/>
  <c r="J5" i="11"/>
  <c r="F4" i="13" s="1"/>
  <c r="H5" i="12"/>
  <c r="J5" i="12" s="1"/>
  <c r="B4" i="13" s="1"/>
  <c r="F110" i="19" l="1"/>
  <c r="F120" i="19" s="1"/>
  <c r="F108" i="19"/>
  <c r="F118" i="19" s="1"/>
  <c r="F107" i="19"/>
  <c r="F117" i="19" s="1"/>
  <c r="A102" i="19"/>
  <c r="A112" i="19" s="1"/>
  <c r="A104" i="19"/>
  <c r="A114" i="19" s="1"/>
  <c r="A103" i="19"/>
  <c r="A113" i="19" s="1"/>
  <c r="A105" i="19"/>
  <c r="A115" i="19" s="1"/>
  <c r="A101" i="19"/>
  <c r="A111" i="19" s="1"/>
  <c r="F106" i="19"/>
  <c r="F116" i="19" s="1"/>
  <c r="B105" i="19"/>
  <c r="B115" i="19" s="1"/>
  <c r="B102" i="19"/>
  <c r="B112" i="19" s="1"/>
  <c r="B104" i="19"/>
  <c r="B114" i="19" s="1"/>
  <c r="B101" i="19"/>
  <c r="B111" i="19" s="1"/>
  <c r="B103" i="19"/>
  <c r="B113" i="19" s="1"/>
  <c r="A100" i="19"/>
  <c r="B100" i="19"/>
  <c r="E110" i="19"/>
  <c r="E120" i="19" s="1"/>
  <c r="E106" i="19"/>
  <c r="E116" i="19" s="1"/>
  <c r="E108" i="19"/>
  <c r="E118" i="19" s="1"/>
  <c r="E107" i="19"/>
  <c r="E117" i="19" s="1"/>
  <c r="E109" i="19"/>
  <c r="E119" i="19" s="1"/>
  <c r="B110" i="19" l="1"/>
  <c r="B120" i="19" s="1"/>
  <c r="B107" i="19"/>
  <c r="B117" i="19" s="1"/>
  <c r="B106" i="19"/>
  <c r="B116" i="19" s="1"/>
  <c r="B109" i="19"/>
  <c r="B119" i="19" s="1"/>
  <c r="B108" i="19"/>
  <c r="B118" i="19" s="1"/>
  <c r="A108" i="19"/>
  <c r="A118" i="19" s="1"/>
  <c r="A106" i="19"/>
  <c r="A116" i="19" s="1"/>
  <c r="A107" i="19"/>
  <c r="A117" i="19" s="1"/>
  <c r="A109" i="19"/>
  <c r="A119" i="19" s="1"/>
  <c r="A110" i="19"/>
  <c r="A120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ארגז ירון</author>
  </authors>
  <commentList>
    <comment ref="D1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ארגז ירון:</t>
        </r>
        <r>
          <rPr>
            <sz val="9"/>
            <color indexed="81"/>
            <rFont val="Tahoma"/>
            <family val="2"/>
          </rPr>
          <t xml:space="preserve">
הנתונים שיוצגו יהיו הנתונים המצטברים עד לחודש שהוכנס (כולל אותו חודש)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מוזס נופר</author>
  </authors>
  <commentList>
    <comment ref="B1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מוזס נופר:</t>
        </r>
        <r>
          <rPr>
            <sz val="9"/>
            <color indexed="81"/>
            <rFont val="Tahoma"/>
            <family val="2"/>
          </rPr>
          <t xml:space="preserve">
לפי סקר תיירות נכנסת 2015 (בדולרים)
לוח 2.3.1</t>
        </r>
      </text>
    </comment>
  </commentList>
</comments>
</file>

<file path=xl/sharedStrings.xml><?xml version="1.0" encoding="utf-8"?>
<sst xmlns="http://schemas.openxmlformats.org/spreadsheetml/2006/main" count="3274" uniqueCount="255">
  <si>
    <t>% change</t>
  </si>
  <si>
    <t>TOTAL</t>
  </si>
  <si>
    <t>ASIA</t>
  </si>
  <si>
    <t>ASIA (FAR EAST)</t>
  </si>
  <si>
    <t>INDIA</t>
  </si>
  <si>
    <t>MALAYSIA</t>
  </si>
  <si>
    <t>INDONESIA</t>
  </si>
  <si>
    <t>Hong Kong</t>
  </si>
  <si>
    <t>CHINA</t>
  </si>
  <si>
    <t>JAPAN</t>
  </si>
  <si>
    <t>TAIWAN</t>
  </si>
  <si>
    <t>KOREA</t>
  </si>
  <si>
    <t>SINGAPORE</t>
  </si>
  <si>
    <t>THAILAND</t>
  </si>
  <si>
    <t>PHILIPPINES</t>
  </si>
  <si>
    <t>ASIA -OTHER</t>
  </si>
  <si>
    <t>CYPRUS</t>
  </si>
  <si>
    <t>TURKEY</t>
  </si>
  <si>
    <t>JORDAN</t>
  </si>
  <si>
    <t>OTHER</t>
  </si>
  <si>
    <t>AFRICA</t>
  </si>
  <si>
    <t>SOUTH AFRICA</t>
  </si>
  <si>
    <t>EGYPT</t>
  </si>
  <si>
    <t>MOROCCO</t>
  </si>
  <si>
    <t>NIGERIA</t>
  </si>
  <si>
    <t>KENYA</t>
  </si>
  <si>
    <t>EUROPE</t>
  </si>
  <si>
    <t>NORDIC COUNTRIES</t>
  </si>
  <si>
    <t xml:space="preserve">      FINLAND</t>
  </si>
  <si>
    <t xml:space="preserve">      SWEDEN</t>
  </si>
  <si>
    <t xml:space="preserve">      NORWAY</t>
  </si>
  <si>
    <t xml:space="preserve">      DENMARK</t>
  </si>
  <si>
    <t>UNITED KINGDOM</t>
  </si>
  <si>
    <t>IRELAND</t>
  </si>
  <si>
    <t>NETHERLANDS</t>
  </si>
  <si>
    <t>BELGIUM</t>
  </si>
  <si>
    <t>FRANCE</t>
  </si>
  <si>
    <t>ITALY</t>
  </si>
  <si>
    <t>SWITZERLAND</t>
  </si>
  <si>
    <t>GERMANY</t>
  </si>
  <si>
    <t>AUSTRIA</t>
  </si>
  <si>
    <t>SPAIN</t>
  </si>
  <si>
    <t>PORTUGAL</t>
  </si>
  <si>
    <t>TOTAL CIS</t>
  </si>
  <si>
    <t>RUSSIA</t>
  </si>
  <si>
    <t>UKRAINE</t>
  </si>
  <si>
    <t>BELARUS</t>
  </si>
  <si>
    <t>REP. OF  MOLDOVA</t>
  </si>
  <si>
    <t>UZBEKISTAN</t>
  </si>
  <si>
    <t>OTHER CIS</t>
  </si>
  <si>
    <t>GEORGIA</t>
  </si>
  <si>
    <t>ESTONIA</t>
  </si>
  <si>
    <t>LITHUANIA</t>
  </si>
  <si>
    <t>LATVIA</t>
  </si>
  <si>
    <t>POLAND</t>
  </si>
  <si>
    <t>HUNGARY</t>
  </si>
  <si>
    <t>CROATIA</t>
  </si>
  <si>
    <t>Serbia</t>
  </si>
  <si>
    <t>Slovenia</t>
  </si>
  <si>
    <t>ROMANIA</t>
  </si>
  <si>
    <t>BULGARIA</t>
  </si>
  <si>
    <t>CZECH REP.</t>
  </si>
  <si>
    <t>SLOVAKIA</t>
  </si>
  <si>
    <t>GREECE</t>
  </si>
  <si>
    <t xml:space="preserve"> OTHER</t>
  </si>
  <si>
    <t>AMERICA</t>
  </si>
  <si>
    <t>UNITED STATES</t>
  </si>
  <si>
    <t>CANADA</t>
  </si>
  <si>
    <t>MEXICO</t>
  </si>
  <si>
    <t>CENTRAL &amp; SOUTH  AMERICA</t>
  </si>
  <si>
    <t>URUGUAY</t>
  </si>
  <si>
    <t>ARGENTINA</t>
  </si>
  <si>
    <t>BRAZIL</t>
  </si>
  <si>
    <t>CHILE</t>
  </si>
  <si>
    <t>COLOMBIA</t>
  </si>
  <si>
    <t>VENEZUELA</t>
  </si>
  <si>
    <t>OCEANIA</t>
  </si>
  <si>
    <t>AUSTRALIA</t>
  </si>
  <si>
    <t>NEW ZEALAND</t>
  </si>
  <si>
    <t>NOT KNOWN</t>
  </si>
  <si>
    <t>January</t>
  </si>
  <si>
    <t>Kazahistan</t>
  </si>
  <si>
    <t>2016/15</t>
  </si>
  <si>
    <t>2016/14</t>
  </si>
  <si>
    <t>February</t>
  </si>
  <si>
    <t>January- February</t>
  </si>
  <si>
    <t>HONG KONG</t>
  </si>
  <si>
    <t>KAZAKHISTAN</t>
  </si>
  <si>
    <t>SLOVENIA</t>
  </si>
  <si>
    <t>SERBIA</t>
  </si>
  <si>
    <t>March</t>
  </si>
  <si>
    <t>January- March</t>
  </si>
  <si>
    <t>April</t>
  </si>
  <si>
    <t>January- April</t>
  </si>
  <si>
    <t>May</t>
  </si>
  <si>
    <t>January- May</t>
  </si>
  <si>
    <t>June</t>
  </si>
  <si>
    <t>January- June</t>
  </si>
  <si>
    <t>July</t>
  </si>
  <si>
    <t>January-July</t>
  </si>
  <si>
    <t>August</t>
  </si>
  <si>
    <t>January-August</t>
  </si>
  <si>
    <t>September</t>
  </si>
  <si>
    <t>January-September</t>
  </si>
  <si>
    <t>October</t>
  </si>
  <si>
    <t>January-October</t>
  </si>
  <si>
    <t>November</t>
  </si>
  <si>
    <t>January-November</t>
  </si>
  <si>
    <t>December</t>
  </si>
  <si>
    <t>January- December</t>
  </si>
  <si>
    <t>jan</t>
  </si>
  <si>
    <t>%change cumulative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</si>
  <si>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</si>
  <si>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</si>
  <si>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</si>
  <si>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</si>
  <si>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</si>
  <si>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</si>
  <si>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</si>
  <si>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</si>
  <si>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</si>
  <si>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</si>
  <si>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</si>
  <si>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אחוז שינוי חודשי</t>
  </si>
  <si>
    <t>אחוז שינוי מצטבר</t>
  </si>
  <si>
    <t>כניסות תיירים חודשי</t>
  </si>
  <si>
    <t>%change</t>
  </si>
  <si>
    <t/>
  </si>
  <si>
    <t>count</t>
  </si>
  <si>
    <t>TOURIST ARRIVALS TO ISRAEL  (EXC. DAY VISITORS &amp;  CRUISE PASSENGERS) BY NATIONALITY</t>
  </si>
  <si>
    <t>2015</t>
  </si>
  <si>
    <t>Grand total</t>
  </si>
  <si>
    <t>Asia - total</t>
  </si>
  <si>
    <t xml:space="preserve">  Uzbekistan</t>
  </si>
  <si>
    <t xml:space="preserve">  Indonesia</t>
  </si>
  <si>
    <t xml:space="preserve">  Georgia</t>
  </si>
  <si>
    <t xml:space="preserve">  India</t>
  </si>
  <si>
    <t xml:space="preserve">  Turkey</t>
  </si>
  <si>
    <t xml:space="preserve">  Taiwan</t>
  </si>
  <si>
    <t xml:space="preserve">  Japan</t>
  </si>
  <si>
    <t xml:space="preserve">  Jordan</t>
  </si>
  <si>
    <t xml:space="preserve">  Malaysia</t>
  </si>
  <si>
    <t xml:space="preserve">  China</t>
  </si>
  <si>
    <t xml:space="preserve">    Thereof: Hong kong</t>
  </si>
  <si>
    <t xml:space="preserve">  Singapore</t>
  </si>
  <si>
    <t xml:space="preserve">  Philippines</t>
  </si>
  <si>
    <t xml:space="preserve">  Korea</t>
  </si>
  <si>
    <t xml:space="preserve">  Kazakhstan</t>
  </si>
  <si>
    <t xml:space="preserve">  Cyprus</t>
  </si>
  <si>
    <t xml:space="preserve">  Thailand</t>
  </si>
  <si>
    <t xml:space="preserve">  Other countries
    in USSR (former)</t>
  </si>
  <si>
    <t xml:space="preserve">  Other countries</t>
  </si>
  <si>
    <t>Africa - total</t>
  </si>
  <si>
    <t xml:space="preserve">  South Africa</t>
  </si>
  <si>
    <t xml:space="preserve">  Egypt</t>
  </si>
  <si>
    <t xml:space="preserve">  Morocco</t>
  </si>
  <si>
    <t xml:space="preserve">  Nigeria</t>
  </si>
  <si>
    <t xml:space="preserve">  Kenya</t>
  </si>
  <si>
    <t>Europe - total</t>
  </si>
  <si>
    <t xml:space="preserve">  Austria</t>
  </si>
  <si>
    <t xml:space="preserve">  Ukraine</t>
  </si>
  <si>
    <t xml:space="preserve">  Italy</t>
  </si>
  <si>
    <t xml:space="preserve">  Ireland</t>
  </si>
  <si>
    <t xml:space="preserve">  Estonia</t>
  </si>
  <si>
    <t xml:space="preserve">  Nordic countries -
    total</t>
  </si>
  <si>
    <t xml:space="preserve">   Thereof:</t>
  </si>
  <si>
    <t xml:space="preserve">      Denmark</t>
  </si>
  <si>
    <t xml:space="preserve">      Norway</t>
  </si>
  <si>
    <t xml:space="preserve">      Finland</t>
  </si>
  <si>
    <t xml:space="preserve">      Sweden</t>
  </si>
  <si>
    <t xml:space="preserve">  Bulgaria</t>
  </si>
  <si>
    <t xml:space="preserve">  Belgium</t>
  </si>
  <si>
    <t xml:space="preserve">  Belarus</t>
  </si>
  <si>
    <t xml:space="preserve">  Germany</t>
  </si>
  <si>
    <t xml:space="preserve">  Netherlands</t>
  </si>
  <si>
    <t xml:space="preserve">  Hungary</t>
  </si>
  <si>
    <t xml:space="preserve">  United Kingdom</t>
  </si>
  <si>
    <t>TABLE 3.- (Cont'd)</t>
  </si>
  <si>
    <t>Country of citizenship</t>
  </si>
  <si>
    <t xml:space="preserve">  Yugoslavia (former)</t>
  </si>
  <si>
    <t xml:space="preserve">    Slovenia</t>
  </si>
  <si>
    <t xml:space="preserve">    Serbia</t>
  </si>
  <si>
    <t xml:space="preserve">  Croatia</t>
  </si>
  <si>
    <t xml:space="preserve">  Greece</t>
  </si>
  <si>
    <t xml:space="preserve">  Latvia</t>
  </si>
  <si>
    <t xml:space="preserve">  Lithuania</t>
  </si>
  <si>
    <t xml:space="preserve">  Moldova</t>
  </si>
  <si>
    <t xml:space="preserve">  Slovakia</t>
  </si>
  <si>
    <t xml:space="preserve">  Spain</t>
  </si>
  <si>
    <t xml:space="preserve">  Poland</t>
  </si>
  <si>
    <t xml:space="preserve">  Portugal</t>
  </si>
  <si>
    <t xml:space="preserve">  Czech Republic</t>
  </si>
  <si>
    <t xml:space="preserve">  France</t>
  </si>
  <si>
    <t xml:space="preserve">  Romania</t>
  </si>
  <si>
    <t xml:space="preserve">  Russian Federation</t>
  </si>
  <si>
    <t xml:space="preserve">  Switzerland</t>
  </si>
  <si>
    <t>America - total</t>
  </si>
  <si>
    <t xml:space="preserve">  North America - total</t>
  </si>
  <si>
    <t xml:space="preserve">    USA</t>
  </si>
  <si>
    <t xml:space="preserve">    Mexico</t>
  </si>
  <si>
    <t xml:space="preserve">    Canada</t>
  </si>
  <si>
    <t xml:space="preserve">  Central America - total</t>
  </si>
  <si>
    <t xml:space="preserve">  South America - total</t>
  </si>
  <si>
    <t xml:space="preserve">    Uruguay</t>
  </si>
  <si>
    <t xml:space="preserve">    Argentina</t>
  </si>
  <si>
    <t xml:space="preserve">    Brazil</t>
  </si>
  <si>
    <t xml:space="preserve">    Venezuela</t>
  </si>
  <si>
    <t xml:space="preserve">    Chile</t>
  </si>
  <si>
    <t xml:space="preserve">    Colombia</t>
  </si>
  <si>
    <t>Oceania - total</t>
  </si>
  <si>
    <t xml:space="preserve">  Australia</t>
  </si>
  <si>
    <t xml:space="preserve">  New Zealand</t>
  </si>
  <si>
    <t>Unclassified countries</t>
  </si>
  <si>
    <t>לבדיקה</t>
  </si>
  <si>
    <t>2017/16</t>
  </si>
  <si>
    <t>2017/15</t>
  </si>
  <si>
    <t>הוצאה ממוצעת</t>
  </si>
  <si>
    <t>מרץ</t>
  </si>
  <si>
    <t>ינואר</t>
  </si>
  <si>
    <t>פברואר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</si>
  <si>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</si>
  <si>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</si>
  <si>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</si>
  <si>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</si>
  <si>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</si>
  <si>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</si>
  <si>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</si>
  <si>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</si>
  <si>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</si>
  <si>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 xml:space="preserve">מדינות בלטיות </t>
  </si>
  <si>
    <t>שאר אירופה</t>
  </si>
  <si>
    <t>שאר אמריקה</t>
  </si>
  <si>
    <t xml:space="preserve">שאר אסיה </t>
  </si>
  <si>
    <t xml:space="preserve">אתיופיה </t>
  </si>
  <si>
    <t>שאר אוקיאנה</t>
  </si>
  <si>
    <t xml:space="preserve">שאר אפריקה </t>
  </si>
  <si>
    <t>שעור יציג $</t>
  </si>
  <si>
    <t>הנתונים באלפים</t>
  </si>
  <si>
    <t>מדינה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</si>
  <si>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</si>
  <si>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</si>
  <si>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</si>
  <si>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</si>
  <si>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</si>
  <si>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</si>
  <si>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</si>
  <si>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</si>
  <si>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</si>
  <si>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</si>
  <si>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</si>
  <si>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 xml:space="preserve">חודש אחרון </t>
  </si>
  <si>
    <t>כניסות
מצטברות</t>
  </si>
  <si>
    <t>בחר כמה מדינות גדולות
להציג  (טווח 1-20)</t>
  </si>
  <si>
    <t>דרוג</t>
  </si>
  <si>
    <t>בחר מספר חודש (2-12)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</si>
</sst>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 * #,##0.00_ ;_ * \-#,##0.00_ ;_ * &quot;-&quot;??_ ;_ @_ "/>
    <numFmt numFmtId="165" formatCode="B1mmm\-yy"/>
    <numFmt numFmtId="166" formatCode="General_)"/>
    <numFmt numFmtId="167" formatCode="_(* #,##0_);_(* \(#,##0\);_(* &quot;-&quot;??_);_(@_)"/>
    <numFmt numFmtId="168" formatCode="0.0"/>
    <numFmt numFmtId="169" formatCode="##,##0.0\ "/>
    <numFmt numFmtId="170" formatCode="#,##0.0"/>
    <numFmt numFmtId="171" formatCode="_ * #,##0.0_ ;_ * \-#,##0.0_ ;_ * &quot;-&quot;??_ ;_ @_ "/>
    <numFmt numFmtId="172" formatCode="_(* #,##0.0_);_(* \(#,##0.0\);_(* &quot;-&quot;??_);_(@_)"/>
  </numFmts>
  <fonts count="19">
    <font>
      <sz val="11"/>
      <color theme="1"/>
      <name val="Calibri"/>
      <family val="2"/>
      <charset val="177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ourier"/>
      <family val="3"/>
      <charset val="177"/>
    </font>
    <font>
      <sz val="6"/>
      <name val="Arial"/>
      <family val="2"/>
      <charset val="177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charset val="177"/>
      <scheme val="minor"/>
    </font>
    <font>
      <sz val="11"/>
      <name val="Calibri"/>
      <family val="2"/>
      <charset val="177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6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166" fontId="5" fillId="0" borderId="0"/>
    <xf numFmtId="0" fontId="6" fillId="0" borderId="0" applyNumberFormat="0" applyBorder="0" applyAlignment="0">
      <alignment horizontal="left" readingOrder="1"/>
    </xf>
    <xf numFmtId="0" fontId="2" fillId="0" borderId="0"/>
    <xf numFmtId="0" fontId="2" fillId="0" borderId="0">
      <alignment wrapText="1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73">
    <xf numFmtId="0" fontId="0" fillId="0" borderId="0" xfId="0"/>
    <xf numFmtId="0" fontId="3" fillId="0" borderId="0" xfId="0" applyFont="1"/>
    <xf numFmtId="0" fontId="8" fillId="0" borderId="23" xfId="0" applyFont="1" applyBorder="1"/>
    <xf numFmtId="3" fontId="8" fillId="0" borderId="0" xfId="0" applyNumberFormat="1" applyFont="1" applyAlignment="1">
      <alignment horizontal="center"/>
    </xf>
    <xf numFmtId="0" fontId="8" fillId="0" borderId="0" xfId="0" applyFont="1" applyBorder="1"/>
    <xf numFmtId="0" fontId="8" fillId="0" borderId="21" xfId="0" applyFont="1" applyBorder="1" applyAlignment="1">
      <alignment horizontal="center"/>
    </xf>
    <xf numFmtId="0" fontId="8" fillId="0" borderId="21" xfId="0" applyFont="1" applyFill="1" applyBorder="1"/>
    <xf numFmtId="0" fontId="8" fillId="0" borderId="21" xfId="0" applyFont="1" applyBorder="1"/>
    <xf numFmtId="0" fontId="8" fillId="0" borderId="0" xfId="0" applyFont="1"/>
    <xf numFmtId="0" fontId="8" fillId="0" borderId="24" xfId="0" applyFont="1" applyBorder="1"/>
    <xf numFmtId="0" fontId="8" fillId="0" borderId="2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4" fillId="0" borderId="0" xfId="0" applyFont="1" applyBorder="1"/>
    <xf numFmtId="9" fontId="4" fillId="0" borderId="16" xfId="0" applyNumberFormat="1" applyFont="1" applyBorder="1" applyAlignment="1">
      <alignment horizontal="right"/>
    </xf>
    <xf numFmtId="9" fontId="4" fillId="0" borderId="18" xfId="0" applyNumberFormat="1" applyFont="1" applyBorder="1" applyAlignment="1">
      <alignment horizontal="right"/>
    </xf>
    <xf numFmtId="9" fontId="4" fillId="0" borderId="35" xfId="0" applyNumberFormat="1" applyFont="1" applyBorder="1" applyAlignment="1">
      <alignment horizontal="right"/>
    </xf>
    <xf numFmtId="9" fontId="4" fillId="0" borderId="36" xfId="0" applyNumberFormat="1" applyFont="1" applyBorder="1" applyAlignment="1">
      <alignment horizontal="right"/>
    </xf>
    <xf numFmtId="0" fontId="8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9" fontId="4" fillId="0" borderId="15" xfId="0" applyNumberFormat="1" applyFont="1" applyBorder="1" applyAlignment="1">
      <alignment horizontal="right"/>
    </xf>
    <xf numFmtId="9" fontId="4" fillId="0" borderId="16" xfId="0" applyNumberFormat="1" applyFont="1" applyBorder="1" applyAlignment="1">
      <alignment horizontal="right"/>
    </xf>
    <xf numFmtId="9" fontId="4" fillId="0" borderId="17" xfId="0" applyNumberFormat="1" applyFont="1" applyBorder="1" applyAlignment="1">
      <alignment horizontal="right"/>
    </xf>
    <xf numFmtId="9" fontId="4" fillId="0" borderId="18" xfId="0" applyNumberFormat="1" applyFont="1" applyBorder="1" applyAlignment="1">
      <alignment horizontal="right"/>
    </xf>
    <xf numFmtId="0" fontId="4" fillId="0" borderId="0" xfId="0" applyFont="1"/>
    <xf numFmtId="3" fontId="4" fillId="0" borderId="0" xfId="0" applyNumberFormat="1" applyFont="1"/>
    <xf numFmtId="9" fontId="4" fillId="0" borderId="15" xfId="0" applyNumberFormat="1" applyFont="1" applyBorder="1" applyAlignment="1">
      <alignment horizontal="right"/>
    </xf>
    <xf numFmtId="9" fontId="4" fillId="0" borderId="16" xfId="0" applyNumberFormat="1" applyFont="1" applyBorder="1" applyAlignment="1">
      <alignment horizontal="right"/>
    </xf>
    <xf numFmtId="9" fontId="4" fillId="0" borderId="17" xfId="0" applyNumberFormat="1" applyFont="1" applyBorder="1" applyAlignment="1">
      <alignment horizontal="right"/>
    </xf>
    <xf numFmtId="9" fontId="4" fillId="0" borderId="18" xfId="0" applyNumberFormat="1" applyFont="1" applyBorder="1" applyAlignment="1">
      <alignment horizontal="right"/>
    </xf>
    <xf numFmtId="0" fontId="4" fillId="0" borderId="0" xfId="0" applyFont="1"/>
    <xf numFmtId="3" fontId="4" fillId="0" borderId="0" xfId="0" applyNumberFormat="1" applyFont="1"/>
    <xf numFmtId="9" fontId="4" fillId="0" borderId="16" xfId="0" applyNumberFormat="1" applyFont="1" applyBorder="1" applyAlignment="1">
      <alignment horizontal="right"/>
    </xf>
    <xf numFmtId="9" fontId="4" fillId="0" borderId="18" xfId="0" applyNumberFormat="1" applyFont="1" applyBorder="1" applyAlignment="1">
      <alignment horizontal="right"/>
    </xf>
    <xf numFmtId="0" fontId="4" fillId="0" borderId="0" xfId="0" applyFont="1"/>
    <xf numFmtId="3" fontId="4" fillId="0" borderId="0" xfId="0" applyNumberFormat="1" applyFont="1"/>
    <xf numFmtId="9" fontId="4" fillId="0" borderId="16" xfId="0" applyNumberFormat="1" applyFont="1" applyBorder="1" applyAlignment="1">
      <alignment horizontal="right"/>
    </xf>
    <xf numFmtId="9" fontId="4" fillId="0" borderId="18" xfId="0" applyNumberFormat="1" applyFont="1" applyBorder="1" applyAlignment="1">
      <alignment horizontal="right"/>
    </xf>
    <xf numFmtId="0" fontId="4" fillId="0" borderId="0" xfId="0" applyFont="1"/>
    <xf numFmtId="3" fontId="4" fillId="0" borderId="0" xfId="0" applyNumberFormat="1" applyFont="1"/>
    <xf numFmtId="9" fontId="4" fillId="0" borderId="16" xfId="0" applyNumberFormat="1" applyFont="1" applyBorder="1" applyAlignment="1">
      <alignment horizontal="right"/>
    </xf>
    <xf numFmtId="9" fontId="4" fillId="0" borderId="18" xfId="0" applyNumberFormat="1" applyFont="1" applyBorder="1" applyAlignment="1">
      <alignment horizontal="right"/>
    </xf>
    <xf numFmtId="0" fontId="4" fillId="0" borderId="0" xfId="0" applyFont="1"/>
    <xf numFmtId="3" fontId="4" fillId="0" borderId="0" xfId="0" applyNumberFormat="1" applyFont="1"/>
    <xf numFmtId="9" fontId="4" fillId="0" borderId="15" xfId="0" applyNumberFormat="1" applyFont="1" applyBorder="1" applyAlignment="1">
      <alignment horizontal="right"/>
    </xf>
    <xf numFmtId="9" fontId="4" fillId="0" borderId="16" xfId="0" applyNumberFormat="1" applyFont="1" applyBorder="1" applyAlignment="1">
      <alignment horizontal="right"/>
    </xf>
    <xf numFmtId="9" fontId="4" fillId="0" borderId="17" xfId="0" applyNumberFormat="1" applyFont="1" applyBorder="1" applyAlignment="1">
      <alignment horizontal="right"/>
    </xf>
    <xf numFmtId="9" fontId="4" fillId="0" borderId="18" xfId="0" applyNumberFormat="1" applyFont="1" applyBorder="1" applyAlignment="1">
      <alignment horizontal="right"/>
    </xf>
    <xf numFmtId="0" fontId="4" fillId="0" borderId="0" xfId="0" applyFont="1"/>
    <xf numFmtId="3" fontId="4" fillId="0" borderId="0" xfId="0" applyNumberFormat="1" applyFont="1"/>
    <xf numFmtId="9" fontId="4" fillId="0" borderId="16" xfId="0" applyNumberFormat="1" applyFont="1" applyBorder="1" applyAlignment="1">
      <alignment horizontal="right"/>
    </xf>
    <xf numFmtId="9" fontId="4" fillId="0" borderId="18" xfId="0" applyNumberFormat="1" applyFont="1" applyBorder="1" applyAlignment="1">
      <alignment horizontal="right"/>
    </xf>
    <xf numFmtId="0" fontId="4" fillId="0" borderId="0" xfId="0" applyFont="1"/>
    <xf numFmtId="3" fontId="4" fillId="0" borderId="0" xfId="0" applyNumberFormat="1" applyFont="1"/>
    <xf numFmtId="9" fontId="4" fillId="0" borderId="15" xfId="0" applyNumberFormat="1" applyFont="1" applyBorder="1" applyAlignment="1">
      <alignment horizontal="right"/>
    </xf>
    <xf numFmtId="9" fontId="4" fillId="0" borderId="16" xfId="0" applyNumberFormat="1" applyFont="1" applyBorder="1" applyAlignment="1">
      <alignment horizontal="right"/>
    </xf>
    <xf numFmtId="9" fontId="4" fillId="0" borderId="17" xfId="0" applyNumberFormat="1" applyFont="1" applyBorder="1" applyAlignment="1">
      <alignment horizontal="right"/>
    </xf>
    <xf numFmtId="9" fontId="4" fillId="0" borderId="18" xfId="0" applyNumberFormat="1" applyFont="1" applyBorder="1" applyAlignment="1">
      <alignment horizontal="right"/>
    </xf>
    <xf numFmtId="0" fontId="4" fillId="0" borderId="0" xfId="0" applyFont="1"/>
    <xf numFmtId="3" fontId="4" fillId="0" borderId="0" xfId="0" applyNumberFormat="1" applyFont="1"/>
    <xf numFmtId="9" fontId="4" fillId="0" borderId="15" xfId="0" applyNumberFormat="1" applyFont="1" applyBorder="1" applyAlignment="1">
      <alignment horizontal="right"/>
    </xf>
    <xf numFmtId="9" fontId="4" fillId="0" borderId="16" xfId="0" applyNumberFormat="1" applyFont="1" applyBorder="1" applyAlignment="1">
      <alignment horizontal="right"/>
    </xf>
    <xf numFmtId="9" fontId="4" fillId="0" borderId="17" xfId="0" applyNumberFormat="1" applyFont="1" applyBorder="1" applyAlignment="1">
      <alignment horizontal="right"/>
    </xf>
    <xf numFmtId="9" fontId="4" fillId="0" borderId="18" xfId="0" applyNumberFormat="1" applyFont="1" applyBorder="1" applyAlignment="1">
      <alignment horizontal="right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9" fontId="4" fillId="0" borderId="39" xfId="0" applyNumberFormat="1" applyFont="1" applyBorder="1" applyAlignment="1">
      <alignment horizontal="right"/>
    </xf>
    <xf numFmtId="9" fontId="4" fillId="0" borderId="2" xfId="0" applyNumberFormat="1" applyFont="1" applyBorder="1" applyAlignment="1">
      <alignment horizontal="right"/>
    </xf>
    <xf numFmtId="9" fontId="4" fillId="0" borderId="32" xfId="0" applyNumberFormat="1" applyFont="1" applyBorder="1" applyAlignment="1">
      <alignment horizontal="right"/>
    </xf>
    <xf numFmtId="9" fontId="4" fillId="0" borderId="4" xfId="0" applyNumberFormat="1" applyFont="1" applyBorder="1" applyAlignment="1">
      <alignment horizontal="right"/>
    </xf>
    <xf numFmtId="9" fontId="4" fillId="0" borderId="38" xfId="0" applyNumberFormat="1" applyFont="1" applyBorder="1" applyAlignment="1">
      <alignment horizontal="right"/>
    </xf>
    <xf numFmtId="0" fontId="8" fillId="0" borderId="27" xfId="0" applyFont="1" applyBorder="1" applyAlignment="1">
      <alignment horizontal="center"/>
    </xf>
    <xf numFmtId="9" fontId="4" fillId="0" borderId="41" xfId="0" applyNumberFormat="1" applyFont="1" applyBorder="1" applyAlignment="1">
      <alignment horizontal="right"/>
    </xf>
    <xf numFmtId="9" fontId="4" fillId="0" borderId="28" xfId="0" applyNumberFormat="1" applyFont="1" applyBorder="1" applyAlignment="1">
      <alignment horizontal="right"/>
    </xf>
    <xf numFmtId="9" fontId="4" fillId="0" borderId="5" xfId="0" applyNumberFormat="1" applyFont="1" applyBorder="1" applyAlignment="1">
      <alignment horizontal="right"/>
    </xf>
    <xf numFmtId="9" fontId="4" fillId="0" borderId="13" xfId="0" applyNumberFormat="1" applyFont="1" applyBorder="1" applyAlignment="1">
      <alignment horizontal="right"/>
    </xf>
    <xf numFmtId="9" fontId="4" fillId="0" borderId="14" xfId="0" applyNumberFormat="1" applyFont="1" applyBorder="1" applyAlignment="1">
      <alignment horizontal="right"/>
    </xf>
    <xf numFmtId="49" fontId="1" fillId="0" borderId="27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0" fillId="0" borderId="0" xfId="0" applyNumberFormat="1"/>
    <xf numFmtId="0" fontId="0" fillId="0" borderId="42" xfId="0" applyBorder="1"/>
    <xf numFmtId="0" fontId="0" fillId="0" borderId="44" xfId="0" applyBorder="1"/>
    <xf numFmtId="0" fontId="0" fillId="0" borderId="0" xfId="0" applyBorder="1"/>
    <xf numFmtId="10" fontId="0" fillId="0" borderId="0" xfId="0" applyNumberFormat="1" applyBorder="1"/>
    <xf numFmtId="9" fontId="0" fillId="0" borderId="0" xfId="0" applyNumberFormat="1"/>
    <xf numFmtId="0" fontId="8" fillId="0" borderId="0" xfId="0" applyFont="1" applyBorder="1" applyAlignment="1">
      <alignment horizontal="center"/>
    </xf>
    <xf numFmtId="0" fontId="8" fillId="0" borderId="0" xfId="0" applyFont="1" applyFill="1" applyBorder="1"/>
    <xf numFmtId="10" fontId="0" fillId="0" borderId="1" xfId="0" applyNumberFormat="1" applyBorder="1"/>
    <xf numFmtId="10" fontId="0" fillId="0" borderId="0" xfId="0" applyNumberFormat="1" applyAlignment="1">
      <alignment horizontal="left"/>
    </xf>
    <xf numFmtId="10" fontId="0" fillId="0" borderId="0" xfId="0" applyNumberFormat="1" applyAlignment="1">
      <alignment horizontal="right"/>
    </xf>
    <xf numFmtId="10" fontId="0" fillId="0" borderId="0" xfId="63" applyNumberFormat="1" applyFont="1" applyBorder="1"/>
    <xf numFmtId="10" fontId="0" fillId="0" borderId="0" xfId="0" applyNumberFormat="1" applyBorder="1" applyAlignment="1">
      <alignment horizontal="left" vertical="center"/>
    </xf>
    <xf numFmtId="10" fontId="0" fillId="0" borderId="0" xfId="0" applyNumberFormat="1" applyAlignment="1"/>
    <xf numFmtId="2" fontId="0" fillId="0" borderId="36" xfId="0" applyNumberFormat="1" applyBorder="1"/>
    <xf numFmtId="2" fontId="0" fillId="0" borderId="16" xfId="0" applyNumberFormat="1" applyBorder="1"/>
    <xf numFmtId="2" fontId="0" fillId="0" borderId="18" xfId="0" applyNumberFormat="1" applyBorder="1"/>
    <xf numFmtId="9" fontId="0" fillId="0" borderId="0" xfId="63" applyFont="1"/>
    <xf numFmtId="0" fontId="0" fillId="0" borderId="0" xfId="63" applyNumberFormat="1" applyFont="1"/>
    <xf numFmtId="2" fontId="0" fillId="0" borderId="0" xfId="0" applyNumberFormat="1" applyBorder="1"/>
    <xf numFmtId="2" fontId="0" fillId="0" borderId="19" xfId="0" applyNumberFormat="1" applyBorder="1"/>
    <xf numFmtId="2" fontId="0" fillId="0" borderId="0" xfId="0" applyNumberFormat="1"/>
    <xf numFmtId="2" fontId="0" fillId="0" borderId="35" xfId="0" applyNumberFormat="1" applyBorder="1"/>
    <xf numFmtId="2" fontId="0" fillId="0" borderId="40" xfId="0" applyNumberFormat="1" applyBorder="1"/>
    <xf numFmtId="2" fontId="0" fillId="0" borderId="15" xfId="0" applyNumberFormat="1" applyBorder="1"/>
    <xf numFmtId="2" fontId="0" fillId="0" borderId="1" xfId="0" applyNumberFormat="1" applyBorder="1"/>
    <xf numFmtId="2" fontId="0" fillId="0" borderId="17" xfId="0" applyNumberFormat="1" applyBorder="1"/>
    <xf numFmtId="2" fontId="0" fillId="0" borderId="6" xfId="0" applyNumberFormat="1" applyBorder="1"/>
    <xf numFmtId="2" fontId="0" fillId="0" borderId="42" xfId="0" applyNumberFormat="1" applyBorder="1"/>
    <xf numFmtId="2" fontId="8" fillId="3" borderId="45" xfId="0" applyNumberFormat="1" applyFont="1" applyFill="1" applyBorder="1" applyAlignment="1">
      <alignment horizontal="center"/>
    </xf>
    <xf numFmtId="2" fontId="8" fillId="3" borderId="46" xfId="0" applyNumberFormat="1" applyFont="1" applyFill="1" applyBorder="1"/>
    <xf numFmtId="2" fontId="8" fillId="3" borderId="43" xfId="0" applyNumberFormat="1" applyFont="1" applyFill="1" applyBorder="1"/>
    <xf numFmtId="2" fontId="8" fillId="3" borderId="47" xfId="0" applyNumberFormat="1" applyFont="1" applyFill="1" applyBorder="1"/>
    <xf numFmtId="0" fontId="12" fillId="0" borderId="0" xfId="0" applyFont="1"/>
    <xf numFmtId="0" fontId="0" fillId="0" borderId="1" xfId="0" applyBorder="1"/>
    <xf numFmtId="2" fontId="12" fillId="0" borderId="1" xfId="0" applyNumberFormat="1" applyFont="1" applyBorder="1"/>
    <xf numFmtId="0" fontId="8" fillId="0" borderId="44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167" fontId="8" fillId="0" borderId="0" xfId="62" applyNumberFormat="1" applyFont="1"/>
    <xf numFmtId="167" fontId="4" fillId="0" borderId="0" xfId="62" applyNumberFormat="1" applyFont="1"/>
    <xf numFmtId="167" fontId="4" fillId="0" borderId="0" xfId="0" applyNumberFormat="1" applyFont="1"/>
    <xf numFmtId="0" fontId="8" fillId="0" borderId="19" xfId="0" applyFont="1" applyBorder="1" applyAlignment="1">
      <alignment horizontal="center"/>
    </xf>
    <xf numFmtId="9" fontId="4" fillId="0" borderId="1" xfId="0" applyNumberFormat="1" applyFont="1" applyBorder="1" applyAlignment="1">
      <alignment horizontal="right"/>
    </xf>
    <xf numFmtId="0" fontId="8" fillId="0" borderId="35" xfId="0" applyFont="1" applyBorder="1" applyAlignment="1">
      <alignment horizontal="center"/>
    </xf>
    <xf numFmtId="0" fontId="8" fillId="0" borderId="40" xfId="62" applyNumberFormat="1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15" xfId="0" applyFont="1" applyBorder="1"/>
    <xf numFmtId="0" fontId="8" fillId="0" borderId="15" xfId="0" applyFont="1" applyFill="1" applyBorder="1"/>
    <xf numFmtId="0" fontId="8" fillId="0" borderId="17" xfId="0" applyFont="1" applyBorder="1"/>
    <xf numFmtId="9" fontId="4" fillId="0" borderId="6" xfId="0" applyNumberFormat="1" applyFont="1" applyBorder="1" applyAlignment="1">
      <alignment horizontal="right"/>
    </xf>
    <xf numFmtId="0" fontId="8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3" fillId="0" borderId="54" xfId="0" applyNumberFormat="1" applyFont="1" applyBorder="1" applyAlignment="1">
      <alignment horizontal="center"/>
    </xf>
    <xf numFmtId="0" fontId="13" fillId="0" borderId="54" xfId="0" applyNumberFormat="1" applyFont="1" applyBorder="1" applyAlignment="1">
      <alignment horizontal="left"/>
    </xf>
    <xf numFmtId="0" fontId="14" fillId="0" borderId="54" xfId="0" applyNumberFormat="1" applyFont="1" applyBorder="1" applyAlignment="1">
      <alignment horizontal="left"/>
    </xf>
    <xf numFmtId="0" fontId="14" fillId="0" borderId="54" xfId="0" applyNumberFormat="1" applyFont="1" applyBorder="1" applyAlignment="1">
      <alignment horizontal="left" wrapText="1"/>
    </xf>
    <xf numFmtId="0" fontId="14" fillId="0" borderId="5" xfId="0" applyNumberFormat="1" applyFont="1" applyBorder="1" applyAlignment="1">
      <alignment horizontal="left"/>
    </xf>
    <xf numFmtId="0" fontId="14" fillId="0" borderId="0" xfId="0" applyNumberFormat="1" applyFont="1" applyBorder="1" applyAlignment="1">
      <alignment horizontal="left"/>
    </xf>
    <xf numFmtId="49" fontId="13" fillId="0" borderId="55" xfId="0" applyNumberFormat="1" applyFont="1" applyBorder="1" applyAlignment="1">
      <alignment horizontal="left" vertical="top"/>
    </xf>
    <xf numFmtId="0" fontId="14" fillId="0" borderId="53" xfId="0" applyNumberFormat="1" applyFont="1" applyBorder="1" applyAlignment="1">
      <alignment horizontal="left"/>
    </xf>
    <xf numFmtId="0" fontId="13" fillId="0" borderId="53" xfId="0" applyNumberFormat="1" applyFont="1" applyBorder="1" applyAlignment="1">
      <alignment horizontal="left"/>
    </xf>
    <xf numFmtId="0" fontId="9" fillId="0" borderId="53" xfId="0" applyFont="1" applyBorder="1"/>
    <xf numFmtId="0" fontId="0" fillId="4" borderId="0" xfId="0" applyFill="1"/>
    <xf numFmtId="168" fontId="1" fillId="0" borderId="0" xfId="0" applyNumberFormat="1" applyFont="1"/>
    <xf numFmtId="168" fontId="0" fillId="0" borderId="0" xfId="0" applyNumberFormat="1"/>
    <xf numFmtId="169" fontId="9" fillId="0" borderId="57" xfId="0" applyNumberFormat="1" applyFont="1" applyBorder="1"/>
    <xf numFmtId="0" fontId="9" fillId="0" borderId="0" xfId="0" applyFont="1" applyBorder="1"/>
    <xf numFmtId="0" fontId="13" fillId="5" borderId="54" xfId="0" applyNumberFormat="1" applyFont="1" applyFill="1" applyBorder="1" applyAlignment="1">
      <alignment horizontal="left"/>
    </xf>
    <xf numFmtId="0" fontId="0" fillId="5" borderId="0" xfId="0" applyFill="1"/>
    <xf numFmtId="168" fontId="1" fillId="5" borderId="0" xfId="0" applyNumberFormat="1" applyFont="1" applyFill="1"/>
    <xf numFmtId="0" fontId="14" fillId="5" borderId="54" xfId="0" applyNumberFormat="1" applyFont="1" applyFill="1" applyBorder="1" applyAlignment="1">
      <alignment horizontal="left"/>
    </xf>
    <xf numFmtId="168" fontId="0" fillId="5" borderId="0" xfId="0" applyNumberFormat="1" applyFill="1"/>
    <xf numFmtId="0" fontId="8" fillId="5" borderId="21" xfId="0" applyFont="1" applyFill="1" applyBorder="1"/>
    <xf numFmtId="0" fontId="8" fillId="5" borderId="23" xfId="0" applyFont="1" applyFill="1" applyBorder="1"/>
    <xf numFmtId="0" fontId="0" fillId="0" borderId="4" xfId="0" applyBorder="1"/>
    <xf numFmtId="0" fontId="12" fillId="0" borderId="37" xfId="0" applyFont="1" applyBorder="1"/>
    <xf numFmtId="0" fontId="12" fillId="0" borderId="58" xfId="0" applyFont="1" applyBorder="1"/>
    <xf numFmtId="0" fontId="12" fillId="0" borderId="59" xfId="0" applyFont="1" applyBorder="1"/>
    <xf numFmtId="0" fontId="12" fillId="0" borderId="60" xfId="0" applyFont="1" applyBorder="1"/>
    <xf numFmtId="0" fontId="12" fillId="0" borderId="8" xfId="0" applyFont="1" applyBorder="1"/>
    <xf numFmtId="0" fontId="12" fillId="0" borderId="9" xfId="0" applyFont="1" applyBorder="1"/>
    <xf numFmtId="167" fontId="0" fillId="0" borderId="1" xfId="62" applyNumberFormat="1" applyFont="1" applyBorder="1"/>
    <xf numFmtId="167" fontId="0" fillId="0" borderId="3" xfId="62" applyNumberFormat="1" applyFont="1" applyBorder="1"/>
    <xf numFmtId="0" fontId="0" fillId="0" borderId="35" xfId="0" applyBorder="1"/>
    <xf numFmtId="0" fontId="0" fillId="0" borderId="36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67" fontId="0" fillId="5" borderId="3" xfId="62" applyNumberFormat="1" applyFont="1" applyFill="1" applyBorder="1"/>
    <xf numFmtId="0" fontId="0" fillId="5" borderId="28" xfId="0" applyFill="1" applyBorder="1"/>
    <xf numFmtId="167" fontId="12" fillId="0" borderId="8" xfId="62" applyNumberFormat="1" applyFont="1" applyBorder="1"/>
    <xf numFmtId="167" fontId="0" fillId="0" borderId="0" xfId="62" applyNumberFormat="1" applyFont="1"/>
    <xf numFmtId="3" fontId="0" fillId="0" borderId="1" xfId="0" applyNumberFormat="1" applyBorder="1"/>
    <xf numFmtId="0" fontId="0" fillId="0" borderId="61" xfId="0" applyBorder="1"/>
    <xf numFmtId="0" fontId="0" fillId="0" borderId="19" xfId="0" applyNumberFormat="1" applyBorder="1"/>
    <xf numFmtId="0" fontId="0" fillId="0" borderId="42" xfId="0" applyNumberFormat="1" applyBorder="1"/>
    <xf numFmtId="0" fontId="12" fillId="0" borderId="1" xfId="0" applyNumberFormat="1" applyFont="1" applyBorder="1"/>
    <xf numFmtId="0" fontId="8" fillId="5" borderId="0" xfId="0" applyFont="1" applyFill="1"/>
    <xf numFmtId="3" fontId="4" fillId="5" borderId="0" xfId="0" applyNumberFormat="1" applyFont="1" applyFill="1"/>
    <xf numFmtId="0" fontId="8" fillId="5" borderId="42" xfId="0" applyFont="1" applyFill="1" applyBorder="1" applyAlignment="1">
      <alignment horizontal="center"/>
    </xf>
    <xf numFmtId="0" fontId="4" fillId="5" borderId="0" xfId="0" applyFont="1" applyFill="1"/>
    <xf numFmtId="170" fontId="7" fillId="0" borderId="50" xfId="1" applyNumberFormat="1" applyFont="1" applyBorder="1" applyAlignment="1">
      <alignment horizontal="right"/>
    </xf>
    <xf numFmtId="170" fontId="7" fillId="0" borderId="3" xfId="1" applyNumberFormat="1" applyFont="1" applyBorder="1" applyAlignment="1">
      <alignment horizontal="right"/>
    </xf>
    <xf numFmtId="170" fontId="7" fillId="0" borderId="1" xfId="1" applyNumberFormat="1" applyFont="1" applyBorder="1" applyAlignment="1">
      <alignment horizontal="right"/>
    </xf>
    <xf numFmtId="170" fontId="7" fillId="0" borderId="1" xfId="0" applyNumberFormat="1" applyFont="1" applyBorder="1" applyAlignment="1">
      <alignment horizontal="right"/>
    </xf>
    <xf numFmtId="170" fontId="0" fillId="0" borderId="0" xfId="0" applyNumberFormat="1"/>
    <xf numFmtId="170" fontId="7" fillId="0" borderId="51" xfId="1" applyNumberFormat="1" applyFont="1" applyBorder="1" applyAlignment="1">
      <alignment horizontal="right"/>
    </xf>
    <xf numFmtId="170" fontId="7" fillId="0" borderId="6" xfId="1" applyNumberFormat="1" applyFont="1" applyBorder="1" applyAlignment="1">
      <alignment horizontal="right"/>
    </xf>
    <xf numFmtId="171" fontId="4" fillId="0" borderId="13" xfId="62" applyNumberFormat="1" applyFont="1" applyBorder="1"/>
    <xf numFmtId="171" fontId="4" fillId="0" borderId="3" xfId="0" applyNumberFormat="1" applyFont="1" applyBorder="1" applyAlignment="1">
      <alignment horizontal="right"/>
    </xf>
    <xf numFmtId="171" fontId="4" fillId="5" borderId="15" xfId="62" applyNumberFormat="1" applyFont="1" applyFill="1" applyBorder="1"/>
    <xf numFmtId="171" fontId="4" fillId="0" borderId="15" xfId="62" applyNumberFormat="1" applyFont="1" applyBorder="1"/>
    <xf numFmtId="171" fontId="4" fillId="0" borderId="1" xfId="0" applyNumberFormat="1" applyFont="1" applyBorder="1" applyAlignment="1">
      <alignment horizontal="right"/>
    </xf>
    <xf numFmtId="171" fontId="4" fillId="5" borderId="17" xfId="62" applyNumberFormat="1" applyFont="1" applyFill="1" applyBorder="1"/>
    <xf numFmtId="171" fontId="4" fillId="0" borderId="17" xfId="62" applyNumberFormat="1" applyFont="1" applyBorder="1"/>
    <xf numFmtId="171" fontId="4" fillId="0" borderId="6" xfId="0" applyNumberFormat="1" applyFont="1" applyBorder="1" applyAlignment="1">
      <alignment horizontal="right"/>
    </xf>
    <xf numFmtId="170" fontId="4" fillId="0" borderId="13" xfId="0" applyNumberFormat="1" applyFont="1" applyBorder="1"/>
    <xf numFmtId="170" fontId="4" fillId="0" borderId="3" xfId="0" applyNumberFormat="1" applyFont="1" applyBorder="1" applyAlignment="1">
      <alignment horizontal="right" vertical="center"/>
    </xf>
    <xf numFmtId="170" fontId="4" fillId="0" borderId="1" xfId="0" applyNumberFormat="1" applyFont="1" applyBorder="1" applyAlignment="1">
      <alignment horizontal="right" vertical="center"/>
    </xf>
    <xf numFmtId="170" fontId="4" fillId="0" borderId="6" xfId="0" applyNumberFormat="1" applyFont="1" applyBorder="1" applyAlignment="1">
      <alignment horizontal="right" vertical="center"/>
    </xf>
    <xf numFmtId="172" fontId="4" fillId="0" borderId="35" xfId="62" applyNumberFormat="1" applyFont="1" applyBorder="1"/>
    <xf numFmtId="172" fontId="4" fillId="0" borderId="40" xfId="0" applyNumberFormat="1" applyFont="1" applyBorder="1" applyAlignment="1">
      <alignment horizontal="right" vertical="center"/>
    </xf>
    <xf numFmtId="172" fontId="4" fillId="0" borderId="15" xfId="62" applyNumberFormat="1" applyFont="1" applyBorder="1"/>
    <xf numFmtId="172" fontId="4" fillId="0" borderId="1" xfId="0" applyNumberFormat="1" applyFont="1" applyBorder="1" applyAlignment="1">
      <alignment horizontal="right" vertical="center"/>
    </xf>
    <xf numFmtId="172" fontId="4" fillId="5" borderId="15" xfId="62" applyNumberFormat="1" applyFont="1" applyFill="1" applyBorder="1"/>
    <xf numFmtId="172" fontId="4" fillId="0" borderId="17" xfId="62" applyNumberFormat="1" applyFont="1" applyBorder="1"/>
    <xf numFmtId="172" fontId="4" fillId="0" borderId="6" xfId="0" applyNumberFormat="1" applyFont="1" applyBorder="1" applyAlignment="1">
      <alignment horizontal="right" vertical="center"/>
    </xf>
    <xf numFmtId="170" fontId="4" fillId="5" borderId="35" xfId="0" applyNumberFormat="1" applyFont="1" applyFill="1" applyBorder="1" applyAlignment="1">
      <alignment horizontal="right" vertical="center"/>
    </xf>
    <xf numFmtId="170" fontId="4" fillId="0" borderId="35" xfId="0" applyNumberFormat="1" applyFont="1" applyBorder="1" applyAlignment="1">
      <alignment horizontal="right" vertical="center"/>
    </xf>
    <xf numFmtId="170" fontId="4" fillId="0" borderId="40" xfId="0" applyNumberFormat="1" applyFont="1" applyBorder="1" applyAlignment="1">
      <alignment horizontal="right" vertical="center"/>
    </xf>
    <xf numFmtId="170" fontId="4" fillId="5" borderId="15" xfId="0" applyNumberFormat="1" applyFont="1" applyFill="1" applyBorder="1" applyAlignment="1">
      <alignment horizontal="right" vertical="center"/>
    </xf>
    <xf numFmtId="170" fontId="4" fillId="0" borderId="15" xfId="0" applyNumberFormat="1" applyFont="1" applyBorder="1" applyAlignment="1">
      <alignment horizontal="right" vertical="center"/>
    </xf>
    <xf numFmtId="170" fontId="4" fillId="5" borderId="17" xfId="0" applyNumberFormat="1" applyFont="1" applyFill="1" applyBorder="1" applyAlignment="1">
      <alignment horizontal="right" vertical="center"/>
    </xf>
    <xf numFmtId="170" fontId="4" fillId="0" borderId="17" xfId="0" applyNumberFormat="1" applyFont="1" applyBorder="1" applyAlignment="1">
      <alignment horizontal="right" vertical="center"/>
    </xf>
    <xf numFmtId="172" fontId="10" fillId="0" borderId="40" xfId="0" applyNumberFormat="1" applyFont="1" applyBorder="1" applyAlignment="1">
      <alignment vertical="center"/>
    </xf>
    <xf numFmtId="172" fontId="10" fillId="0" borderId="1" xfId="0" applyNumberFormat="1" applyFont="1" applyBorder="1" applyAlignment="1">
      <alignment vertical="center"/>
    </xf>
    <xf numFmtId="172" fontId="10" fillId="0" borderId="6" xfId="0" applyNumberFormat="1" applyFont="1" applyBorder="1" applyAlignment="1">
      <alignment vertical="center"/>
    </xf>
    <xf numFmtId="170" fontId="9" fillId="0" borderId="40" xfId="0" applyNumberFormat="1" applyFont="1" applyBorder="1" applyAlignment="1">
      <alignment horizontal="right"/>
    </xf>
    <xf numFmtId="170" fontId="9" fillId="0" borderId="1" xfId="0" applyNumberFormat="1" applyFont="1" applyBorder="1" applyAlignment="1">
      <alignment horizontal="right"/>
    </xf>
    <xf numFmtId="170" fontId="9" fillId="0" borderId="6" xfId="0" applyNumberFormat="1" applyFont="1" applyBorder="1" applyAlignment="1">
      <alignment horizontal="right"/>
    </xf>
    <xf numFmtId="172" fontId="4" fillId="0" borderId="35" xfId="0" applyNumberFormat="1" applyFont="1" applyBorder="1"/>
    <xf numFmtId="172" fontId="4" fillId="0" borderId="15" xfId="0" applyNumberFormat="1" applyFont="1" applyBorder="1"/>
    <xf numFmtId="172" fontId="4" fillId="0" borderId="17" xfId="0" applyNumberFormat="1" applyFont="1" applyBorder="1"/>
    <xf numFmtId="171" fontId="4" fillId="0" borderId="35" xfId="62" applyNumberFormat="1" applyFont="1" applyBorder="1" applyAlignment="1">
      <alignment horizontal="left"/>
    </xf>
    <xf numFmtId="171" fontId="2" fillId="0" borderId="40" xfId="0" applyNumberFormat="1" applyFont="1" applyBorder="1" applyAlignment="1">
      <alignment horizontal="center"/>
    </xf>
    <xf numFmtId="171" fontId="4" fillId="0" borderId="15" xfId="62" applyNumberFormat="1" applyFont="1" applyBorder="1" applyAlignment="1">
      <alignment horizontal="left"/>
    </xf>
    <xf numFmtId="171" fontId="2" fillId="0" borderId="1" xfId="0" applyNumberFormat="1" applyFont="1" applyBorder="1" applyAlignment="1">
      <alignment horizontal="center"/>
    </xf>
    <xf numFmtId="171" fontId="4" fillId="0" borderId="17" xfId="62" applyNumberFormat="1" applyFont="1" applyBorder="1" applyAlignment="1">
      <alignment horizontal="left"/>
    </xf>
    <xf numFmtId="171" fontId="2" fillId="0" borderId="6" xfId="0" applyNumberFormat="1" applyFont="1" applyBorder="1" applyAlignment="1">
      <alignment horizontal="center"/>
    </xf>
    <xf numFmtId="172" fontId="2" fillId="0" borderId="40" xfId="0" applyNumberFormat="1" applyFont="1" applyBorder="1" applyAlignment="1">
      <alignment horizontal="center"/>
    </xf>
    <xf numFmtId="172" fontId="2" fillId="0" borderId="1" xfId="0" applyNumberFormat="1" applyFont="1" applyBorder="1" applyAlignment="1">
      <alignment horizontal="center"/>
    </xf>
    <xf numFmtId="172" fontId="2" fillId="0" borderId="6" xfId="0" applyNumberFormat="1" applyFont="1" applyBorder="1" applyAlignment="1">
      <alignment horizontal="center"/>
    </xf>
    <xf numFmtId="168" fontId="4" fillId="0" borderId="13" xfId="0" applyNumberFormat="1" applyFont="1" applyBorder="1"/>
    <xf numFmtId="168" fontId="2" fillId="0" borderId="28" xfId="0" applyNumberFormat="1" applyFont="1" applyBorder="1" applyAlignment="1">
      <alignment horizontal="center"/>
    </xf>
    <xf numFmtId="168" fontId="4" fillId="0" borderId="15" xfId="0" applyNumberFormat="1" applyFont="1" applyBorder="1"/>
    <xf numFmtId="168" fontId="4" fillId="0" borderId="17" xfId="0" applyNumberFormat="1" applyFont="1" applyBorder="1"/>
    <xf numFmtId="168" fontId="2" fillId="0" borderId="29" xfId="0" applyNumberFormat="1" applyFont="1" applyBorder="1" applyAlignment="1">
      <alignment horizontal="center"/>
    </xf>
    <xf numFmtId="172" fontId="2" fillId="0" borderId="28" xfId="62" applyNumberFormat="1" applyFont="1" applyBorder="1" applyAlignment="1">
      <alignment horizontal="center"/>
    </xf>
    <xf numFmtId="172" fontId="2" fillId="0" borderId="29" xfId="62" applyNumberFormat="1" applyFont="1" applyBorder="1" applyAlignment="1">
      <alignment horizontal="center"/>
    </xf>
    <xf numFmtId="172" fontId="4" fillId="0" borderId="28" xfId="62" applyNumberFormat="1" applyFont="1" applyBorder="1"/>
    <xf numFmtId="172" fontId="4" fillId="0" borderId="4" xfId="62" applyNumberFormat="1" applyFont="1" applyBorder="1"/>
    <xf numFmtId="170" fontId="2" fillId="0" borderId="40" xfId="0" applyNumberFormat="1" applyFont="1" applyBorder="1" applyAlignment="1">
      <alignment horizontal="center"/>
    </xf>
    <xf numFmtId="170" fontId="2" fillId="0" borderId="1" xfId="0" applyNumberFormat="1" applyFont="1" applyBorder="1" applyAlignment="1">
      <alignment horizontal="center"/>
    </xf>
    <xf numFmtId="170" fontId="2" fillId="0" borderId="6" xfId="0" applyNumberFormat="1" applyFont="1" applyBorder="1" applyAlignment="1">
      <alignment horizontal="center"/>
    </xf>
    <xf numFmtId="172" fontId="2" fillId="0" borderId="3" xfId="0" applyNumberFormat="1" applyFont="1" applyBorder="1" applyAlignment="1">
      <alignment horizontal="center"/>
    </xf>
    <xf numFmtId="170" fontId="4" fillId="0" borderId="35" xfId="62" applyNumberFormat="1" applyFont="1" applyBorder="1"/>
    <xf numFmtId="170" fontId="10" fillId="0" borderId="40" xfId="0" applyNumberFormat="1" applyFont="1" applyBorder="1" applyAlignment="1">
      <alignment vertical="center"/>
    </xf>
    <xf numFmtId="170" fontId="4" fillId="0" borderId="15" xfId="62" applyNumberFormat="1" applyFont="1" applyBorder="1"/>
    <xf numFmtId="170" fontId="10" fillId="0" borderId="1" xfId="0" applyNumberFormat="1" applyFont="1" applyBorder="1" applyAlignment="1">
      <alignment vertical="center"/>
    </xf>
    <xf numFmtId="170" fontId="4" fillId="0" borderId="17" xfId="62" applyNumberFormat="1" applyFont="1" applyBorder="1"/>
    <xf numFmtId="170" fontId="10" fillId="0" borderId="6" xfId="0" applyNumberFormat="1" applyFont="1" applyBorder="1" applyAlignment="1">
      <alignment vertical="center"/>
    </xf>
    <xf numFmtId="172" fontId="4" fillId="0" borderId="1" xfId="62" applyNumberFormat="1" applyFont="1" applyBorder="1"/>
    <xf numFmtId="172" fontId="10" fillId="0" borderId="1" xfId="62" applyNumberFormat="1" applyFont="1" applyBorder="1" applyAlignment="1">
      <alignment vertical="center"/>
    </xf>
    <xf numFmtId="172" fontId="2" fillId="0" borderId="1" xfId="62" applyNumberFormat="1" applyFont="1" applyBorder="1" applyAlignment="1">
      <alignment horizontal="center"/>
    </xf>
    <xf numFmtId="172" fontId="4" fillId="0" borderId="6" xfId="62" applyNumberFormat="1" applyFont="1" applyBorder="1"/>
    <xf numFmtId="172" fontId="2" fillId="0" borderId="6" xfId="62" applyNumberFormat="1" applyFont="1" applyBorder="1" applyAlignment="1">
      <alignment horizontal="center"/>
    </xf>
    <xf numFmtId="172" fontId="4" fillId="0" borderId="1" xfId="0" applyNumberFormat="1" applyFont="1" applyBorder="1"/>
    <xf numFmtId="172" fontId="4" fillId="0" borderId="6" xfId="0" applyNumberFormat="1" applyFont="1" applyBorder="1"/>
    <xf numFmtId="43" fontId="0" fillId="0" borderId="1" xfId="62" applyFont="1" applyBorder="1"/>
    <xf numFmtId="168" fontId="8" fillId="0" borderId="40" xfId="62" applyNumberFormat="1" applyFont="1" applyBorder="1" applyAlignment="1">
      <alignment horizontal="center"/>
    </xf>
    <xf numFmtId="168" fontId="4" fillId="0" borderId="0" xfId="62" applyNumberFormat="1" applyFont="1"/>
    <xf numFmtId="168" fontId="4" fillId="5" borderId="1" xfId="62" applyNumberFormat="1" applyFont="1" applyFill="1" applyBorder="1"/>
    <xf numFmtId="168" fontId="4" fillId="5" borderId="6" xfId="62" applyNumberFormat="1" applyFont="1" applyFill="1" applyBorder="1"/>
    <xf numFmtId="2" fontId="0" fillId="0" borderId="62" xfId="0" applyNumberFormat="1" applyBorder="1"/>
    <xf numFmtId="0" fontId="0" fillId="0" borderId="63" xfId="0" applyBorder="1"/>
    <xf numFmtId="0" fontId="0" fillId="0" borderId="64" xfId="0" applyBorder="1"/>
    <xf numFmtId="2" fontId="0" fillId="0" borderId="65" xfId="0" applyNumberFormat="1" applyBorder="1"/>
    <xf numFmtId="0" fontId="0" fillId="0" borderId="66" xfId="0" applyBorder="1"/>
    <xf numFmtId="2" fontId="0" fillId="0" borderId="67" xfId="0" applyNumberFormat="1" applyBorder="1"/>
    <xf numFmtId="0" fontId="0" fillId="0" borderId="68" xfId="0" applyBorder="1"/>
    <xf numFmtId="0" fontId="0" fillId="0" borderId="69" xfId="0" applyBorder="1"/>
    <xf numFmtId="0" fontId="0" fillId="0" borderId="0" xfId="0" applyAlignment="1">
      <alignment wrapText="1"/>
    </xf>
    <xf numFmtId="0" fontId="0" fillId="6" borderId="0" xfId="0" applyFill="1" applyProtection="1">
      <protection locked="0"/>
    </xf>
    <xf numFmtId="170" fontId="8" fillId="5" borderId="0" xfId="0" applyNumberFormat="1" applyFont="1" applyFill="1"/>
    <xf numFmtId="170" fontId="4" fillId="5" borderId="0" xfId="0" applyNumberFormat="1" applyFont="1" applyFill="1"/>
    <xf numFmtId="170" fontId="4" fillId="5" borderId="40" xfId="0" applyNumberFormat="1" applyFont="1" applyFill="1" applyBorder="1" applyAlignment="1">
      <alignment horizontal="right" vertical="center"/>
    </xf>
    <xf numFmtId="170" fontId="4" fillId="5" borderId="1" xfId="0" applyNumberFormat="1" applyFont="1" applyFill="1" applyBorder="1" applyAlignment="1">
      <alignment horizontal="right" vertical="center"/>
    </xf>
    <xf numFmtId="170" fontId="4" fillId="5" borderId="6" xfId="0" applyNumberFormat="1" applyFont="1" applyFill="1" applyBorder="1" applyAlignment="1">
      <alignment horizontal="right" vertical="center"/>
    </xf>
    <xf numFmtId="0" fontId="8" fillId="5" borderId="42" xfId="0" applyNumberFormat="1" applyFont="1" applyFill="1" applyBorder="1" applyAlignment="1">
      <alignment horizontal="center"/>
    </xf>
    <xf numFmtId="0" fontId="0" fillId="4" borderId="0" xfId="0" applyFill="1" applyProtection="1">
      <protection locked="0"/>
    </xf>
    <xf numFmtId="3" fontId="0" fillId="0" borderId="4" xfId="0" applyNumberFormat="1" applyBorder="1"/>
    <xf numFmtId="3" fontId="0" fillId="0" borderId="1" xfId="62" applyNumberFormat="1" applyFont="1" applyBorder="1"/>
    <xf numFmtId="3" fontId="0" fillId="0" borderId="3" xfId="62" applyNumberFormat="1" applyFont="1" applyBorder="1"/>
    <xf numFmtId="3" fontId="0" fillId="5" borderId="4" xfId="0" applyNumberFormat="1" applyFill="1" applyBorder="1"/>
    <xf numFmtId="3" fontId="0" fillId="5" borderId="1" xfId="62" applyNumberFormat="1" applyFont="1" applyFill="1" applyBorder="1"/>
    <xf numFmtId="3" fontId="0" fillId="5" borderId="3" xfId="62" applyNumberFormat="1" applyFont="1" applyFill="1" applyBorder="1"/>
    <xf numFmtId="3" fontId="17" fillId="0" borderId="4" xfId="0" applyNumberFormat="1" applyFont="1" applyBorder="1"/>
    <xf numFmtId="3" fontId="17" fillId="0" borderId="1" xfId="62" applyNumberFormat="1" applyFont="1" applyBorder="1"/>
    <xf numFmtId="3" fontId="17" fillId="0" borderId="3" xfId="62" applyNumberFormat="1" applyFont="1" applyBorder="1"/>
    <xf numFmtId="3" fontId="17" fillId="0" borderId="1" xfId="0" applyNumberFormat="1" applyFont="1" applyBorder="1"/>
    <xf numFmtId="3" fontId="18" fillId="5" borderId="4" xfId="0" applyNumberFormat="1" applyFont="1" applyFill="1" applyBorder="1"/>
    <xf numFmtId="3" fontId="18" fillId="5" borderId="1" xfId="62" applyNumberFormat="1" applyFont="1" applyFill="1" applyBorder="1"/>
    <xf numFmtId="3" fontId="18" fillId="5" borderId="3" xfId="62" applyNumberFormat="1" applyFont="1" applyFill="1" applyBorder="1"/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172" fontId="8" fillId="5" borderId="0" xfId="0" applyNumberFormat="1" applyFont="1" applyFill="1"/>
    <xf numFmtId="172" fontId="4" fillId="5" borderId="0" xfId="0" applyNumberFormat="1" applyFont="1" applyFill="1"/>
    <xf numFmtId="172" fontId="4" fillId="5" borderId="35" xfId="62" applyNumberFormat="1" applyFont="1" applyFill="1" applyBorder="1"/>
    <xf numFmtId="164" fontId="4" fillId="5" borderId="15" xfId="62" applyNumberFormat="1" applyFont="1" applyFill="1" applyBorder="1"/>
    <xf numFmtId="172" fontId="4" fillId="5" borderId="17" xfId="62" applyNumberFormat="1" applyFont="1" applyFill="1" applyBorder="1"/>
    <xf numFmtId="171" fontId="4" fillId="5" borderId="35" xfId="62" applyNumberFormat="1" applyFont="1" applyFill="1" applyBorder="1" applyAlignment="1">
      <alignment horizontal="left"/>
    </xf>
    <xf numFmtId="171" fontId="4" fillId="5" borderId="15" xfId="62" applyNumberFormat="1" applyFont="1" applyFill="1" applyBorder="1" applyAlignment="1">
      <alignment horizontal="left"/>
    </xf>
    <xf numFmtId="171" fontId="4" fillId="5" borderId="17" xfId="62" applyNumberFormat="1" applyFont="1" applyFill="1" applyBorder="1" applyAlignment="1">
      <alignment horizontal="left"/>
    </xf>
    <xf numFmtId="171" fontId="4" fillId="0" borderId="0" xfId="0" applyNumberFormat="1" applyFont="1"/>
    <xf numFmtId="164" fontId="4" fillId="0" borderId="0" xfId="0" applyNumberFormat="1" applyFont="1"/>
    <xf numFmtId="0" fontId="8" fillId="5" borderId="37" xfId="0" applyFont="1" applyFill="1" applyBorder="1" applyAlignment="1">
      <alignment horizontal="center"/>
    </xf>
    <xf numFmtId="168" fontId="4" fillId="5" borderId="13" xfId="0" applyNumberFormat="1" applyFont="1" applyFill="1" applyBorder="1"/>
    <xf numFmtId="168" fontId="4" fillId="5" borderId="15" xfId="0" applyNumberFormat="1" applyFont="1" applyFill="1" applyBorder="1"/>
    <xf numFmtId="0" fontId="4" fillId="5" borderId="15" xfId="0" applyFont="1" applyFill="1" applyBorder="1"/>
    <xf numFmtId="0" fontId="4" fillId="5" borderId="17" xfId="0" applyFont="1" applyFill="1" applyBorder="1"/>
    <xf numFmtId="0" fontId="14" fillId="0" borderId="56" xfId="0" applyFont="1" applyBorder="1" applyAlignment="1" applyProtection="1">
      <alignment horizontal="center" vertical="center"/>
    </xf>
    <xf numFmtId="0" fontId="14" fillId="0" borderId="53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65" fontId="8" fillId="0" borderId="19" xfId="0" applyNumberFormat="1" applyFont="1" applyBorder="1" applyAlignment="1">
      <alignment horizontal="center" wrapText="1"/>
    </xf>
    <xf numFmtId="165" fontId="8" fillId="0" borderId="31" xfId="0" applyNumberFormat="1" applyFont="1" applyBorder="1" applyAlignment="1">
      <alignment horizontal="center" wrapText="1"/>
    </xf>
    <xf numFmtId="165" fontId="8" fillId="0" borderId="20" xfId="0" applyNumberFormat="1" applyFont="1" applyBorder="1" applyAlignment="1">
      <alignment horizontal="center" wrapText="1"/>
    </xf>
    <xf numFmtId="0" fontId="8" fillId="0" borderId="25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2" fontId="0" fillId="3" borderId="27" xfId="0" applyNumberFormat="1" applyFill="1" applyBorder="1" applyAlignment="1">
      <alignment horizontal="center"/>
    </xf>
    <xf numFmtId="2" fontId="0" fillId="3" borderId="26" xfId="0" applyNumberFormat="1" applyFill="1" applyBorder="1" applyAlignment="1">
      <alignment horizontal="center"/>
    </xf>
    <xf numFmtId="2" fontId="12" fillId="2" borderId="0" xfId="0" applyNumberFormat="1" applyFont="1" applyFill="1" applyAlignment="1">
      <alignment horizontal="center"/>
    </xf>
    <xf numFmtId="2" fontId="12" fillId="2" borderId="7" xfId="0" applyNumberFormat="1" applyFont="1" applyFill="1" applyBorder="1" applyAlignment="1">
      <alignment horizontal="center"/>
    </xf>
    <xf numFmtId="2" fontId="12" fillId="2" borderId="26" xfId="0" applyNumberFormat="1" applyFont="1" applyFill="1" applyBorder="1" applyAlignment="1">
      <alignment horizontal="center"/>
    </xf>
    <xf numFmtId="2" fontId="12" fillId="2" borderId="27" xfId="0" applyNumberFormat="1" applyFont="1" applyFill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12" fillId="0" borderId="22" xfId="0" applyNumberFormat="1" applyFont="1" applyBorder="1" applyAlignment="1">
      <alignment horizontal="center"/>
    </xf>
    <xf numFmtId="10" fontId="12" fillId="0" borderId="48" xfId="0" applyNumberFormat="1" applyFont="1" applyBorder="1" applyAlignment="1">
      <alignment horizontal="center"/>
    </xf>
    <xf numFmtId="10" fontId="12" fillId="0" borderId="41" xfId="0" applyNumberFormat="1" applyFont="1" applyBorder="1" applyAlignment="1">
      <alignment horizontal="center"/>
    </xf>
    <xf numFmtId="10" fontId="12" fillId="0" borderId="21" xfId="0" applyNumberFormat="1" applyFont="1" applyBorder="1" applyAlignment="1">
      <alignment horizontal="center"/>
    </xf>
    <xf numFmtId="10" fontId="12" fillId="0" borderId="49" xfId="0" applyNumberFormat="1" applyFont="1" applyBorder="1" applyAlignment="1">
      <alignment horizontal="center"/>
    </xf>
    <xf numFmtId="10" fontId="12" fillId="0" borderId="4" xfId="0" applyNumberFormat="1" applyFon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10" fontId="12" fillId="0" borderId="39" xfId="0" applyNumberFormat="1" applyFont="1" applyBorder="1" applyAlignment="1">
      <alignment horizontal="center"/>
    </xf>
    <xf numFmtId="10" fontId="12" fillId="0" borderId="2" xfId="0" applyNumberFormat="1" applyFont="1" applyBorder="1" applyAlignment="1">
      <alignment horizontal="center"/>
    </xf>
    <xf numFmtId="10" fontId="12" fillId="0" borderId="40" xfId="0" applyNumberFormat="1" applyFont="1" applyBorder="1" applyAlignment="1">
      <alignment horizontal="center"/>
    </xf>
    <xf numFmtId="10" fontId="12" fillId="0" borderId="36" xfId="0" applyNumberFormat="1" applyFont="1" applyBorder="1" applyAlignment="1">
      <alignment horizontal="center"/>
    </xf>
    <xf numFmtId="10" fontId="0" fillId="0" borderId="18" xfId="0" applyNumberForma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10" fontId="12" fillId="0" borderId="46" xfId="0" applyNumberFormat="1" applyFont="1" applyBorder="1" applyAlignment="1">
      <alignment horizontal="center"/>
    </xf>
  </cellXfs>
  <cellStyles count="64">
    <cellStyle name="Comma" xfId="62" builtinId="3"/>
    <cellStyle name="Comma 2" xfId="6" xr:uid="{00000000-0005-0000-0000-000001000000}"/>
    <cellStyle name="Comma 2 2" xfId="14" xr:uid="{00000000-0005-0000-0000-000002000000}"/>
    <cellStyle name="Comma 2 2 2" xfId="27" xr:uid="{00000000-0005-0000-0000-000003000000}"/>
    <cellStyle name="Comma 2 3" xfId="26" xr:uid="{00000000-0005-0000-0000-000004000000}"/>
    <cellStyle name="Comma 2 4" xfId="33" xr:uid="{00000000-0005-0000-0000-000005000000}"/>
    <cellStyle name="Comma 2 5" xfId="31" xr:uid="{00000000-0005-0000-0000-000006000000}"/>
    <cellStyle name="Comma 2 5 2" xfId="41" xr:uid="{00000000-0005-0000-0000-000007000000}"/>
    <cellStyle name="Comma 2 6" xfId="37" xr:uid="{00000000-0005-0000-0000-000008000000}"/>
    <cellStyle name="Comma 2 7" xfId="47" xr:uid="{00000000-0005-0000-0000-000009000000}"/>
    <cellStyle name="Comma 2 7 2" xfId="56" xr:uid="{00000000-0005-0000-0000-00000A000000}"/>
    <cellStyle name="Comma 2 8" xfId="49" xr:uid="{00000000-0005-0000-0000-00000B000000}"/>
    <cellStyle name="Comma 2 9" xfId="61" xr:uid="{00000000-0005-0000-0000-00000C000000}"/>
    <cellStyle name="Comma 3" xfId="7" xr:uid="{00000000-0005-0000-0000-00000D000000}"/>
    <cellStyle name="Comma 3 2" xfId="11" xr:uid="{00000000-0005-0000-0000-00000E000000}"/>
    <cellStyle name="Comma 3 2 2" xfId="28" xr:uid="{00000000-0005-0000-0000-00000F000000}"/>
    <cellStyle name="Comma 3 3" xfId="59" xr:uid="{00000000-0005-0000-0000-000010000000}"/>
    <cellStyle name="Comma 4" xfId="15" xr:uid="{00000000-0005-0000-0000-000011000000}"/>
    <cellStyle name="Comma 4 2" xfId="39" xr:uid="{00000000-0005-0000-0000-000012000000}"/>
    <cellStyle name="Comma 5" xfId="44" xr:uid="{00000000-0005-0000-0000-000013000000}"/>
    <cellStyle name="Comma 5 2" xfId="50" xr:uid="{00000000-0005-0000-0000-000014000000}"/>
    <cellStyle name="Comma 6" xfId="53" xr:uid="{00000000-0005-0000-0000-000015000000}"/>
    <cellStyle name="Normal" xfId="0" builtinId="0"/>
    <cellStyle name="Normal 10" xfId="22" xr:uid="{00000000-0005-0000-0000-000017000000}"/>
    <cellStyle name="Normal 11" xfId="24" xr:uid="{00000000-0005-0000-0000-000018000000}"/>
    <cellStyle name="Normal 11 2" xfId="34" xr:uid="{00000000-0005-0000-0000-000019000000}"/>
    <cellStyle name="Normal 12" xfId="45" xr:uid="{00000000-0005-0000-0000-00001A000000}"/>
    <cellStyle name="Normal 12 2" xfId="51" xr:uid="{00000000-0005-0000-0000-00001B000000}"/>
    <cellStyle name="Normal 13" xfId="52" xr:uid="{00000000-0005-0000-0000-00001C000000}"/>
    <cellStyle name="Normal 13 2" xfId="54" xr:uid="{00000000-0005-0000-0000-00001D000000}"/>
    <cellStyle name="Normal 14" xfId="57" xr:uid="{00000000-0005-0000-0000-00001E000000}"/>
    <cellStyle name="Normal 15" xfId="58" xr:uid="{00000000-0005-0000-0000-00001F000000}"/>
    <cellStyle name="Normal 2" xfId="3" xr:uid="{00000000-0005-0000-0000-000020000000}"/>
    <cellStyle name="Normal 2 10" xfId="60" xr:uid="{00000000-0005-0000-0000-000021000000}"/>
    <cellStyle name="Normal 2 2" xfId="5" xr:uid="{00000000-0005-0000-0000-000022000000}"/>
    <cellStyle name="Normal 2 2 2" xfId="25" xr:uid="{00000000-0005-0000-0000-000023000000}"/>
    <cellStyle name="Normal 2 2 3" xfId="20" xr:uid="{00000000-0005-0000-0000-000024000000}"/>
    <cellStyle name="Normal 2 3" xfId="8" xr:uid="{00000000-0005-0000-0000-000025000000}"/>
    <cellStyle name="Normal 2 4" xfId="13" xr:uid="{00000000-0005-0000-0000-000026000000}"/>
    <cellStyle name="Normal 2 5" xfId="32" xr:uid="{00000000-0005-0000-0000-000027000000}"/>
    <cellStyle name="Normal 2 6" xfId="30" xr:uid="{00000000-0005-0000-0000-000028000000}"/>
    <cellStyle name="Normal 2 6 2" xfId="40" xr:uid="{00000000-0005-0000-0000-000029000000}"/>
    <cellStyle name="Normal 2 7" xfId="36" xr:uid="{00000000-0005-0000-0000-00002A000000}"/>
    <cellStyle name="Normal 2 8" xfId="46" xr:uid="{00000000-0005-0000-0000-00002B000000}"/>
    <cellStyle name="Normal 2 8 2" xfId="55" xr:uid="{00000000-0005-0000-0000-00002C000000}"/>
    <cellStyle name="Normal 2 9" xfId="48" xr:uid="{00000000-0005-0000-0000-00002D000000}"/>
    <cellStyle name="Normal 3" xfId="1" xr:uid="{00000000-0005-0000-0000-00002E000000}"/>
    <cellStyle name="Normal 4" xfId="2" xr:uid="{00000000-0005-0000-0000-00002F000000}"/>
    <cellStyle name="Normal 5" xfId="4" xr:uid="{00000000-0005-0000-0000-000030000000}"/>
    <cellStyle name="Normal 5 2" xfId="9" xr:uid="{00000000-0005-0000-0000-000031000000}"/>
    <cellStyle name="Normal 5 3" xfId="18" xr:uid="{00000000-0005-0000-0000-000032000000}"/>
    <cellStyle name="Normal 6" xfId="10" xr:uid="{00000000-0005-0000-0000-000033000000}"/>
    <cellStyle name="Normal 6 2" xfId="12" xr:uid="{00000000-0005-0000-0000-000034000000}"/>
    <cellStyle name="Normal 6 2 2" xfId="29" xr:uid="{00000000-0005-0000-0000-000035000000}"/>
    <cellStyle name="Normal 7" xfId="16" xr:uid="{00000000-0005-0000-0000-000036000000}"/>
    <cellStyle name="Normal 7 2" xfId="19" xr:uid="{00000000-0005-0000-0000-000037000000}"/>
    <cellStyle name="Normal 7 3" xfId="35" xr:uid="{00000000-0005-0000-0000-000038000000}"/>
    <cellStyle name="Normal 7 3 2" xfId="42" xr:uid="{00000000-0005-0000-0000-000039000000}"/>
    <cellStyle name="Normal 7 4" xfId="38" xr:uid="{00000000-0005-0000-0000-00003A000000}"/>
    <cellStyle name="Normal 7 4 2" xfId="43" xr:uid="{00000000-0005-0000-0000-00003B000000}"/>
    <cellStyle name="Normal 8" xfId="21" xr:uid="{00000000-0005-0000-0000-00003C000000}"/>
    <cellStyle name="Normal 9" xfId="17" xr:uid="{00000000-0005-0000-0000-00003D000000}"/>
    <cellStyle name="Percent" xfId="63" builtinId="5"/>
    <cellStyle name="Text_e" xfId="23" xr:uid="{00000000-0005-0000-0000-00003F000000}"/>
  </cellStyles>
  <dxfs count="96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1800" b="1">
                <a:cs typeface="+mn-cs"/>
              </a:rPr>
              <a:t>אחוז שינוי חודשי</a:t>
            </a:r>
            <a:r>
              <a:rPr lang="he-IL" sz="1800" b="1" baseline="0">
                <a:cs typeface="+mn-cs"/>
              </a:rPr>
              <a:t> 2017/2016 מדינות בולטות</a:t>
            </a:r>
            <a:endParaRPr lang="en-US" sz="1800" b="1">
              <a:cs typeface="+mn-cs"/>
            </a:endParaRPr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topten!$AT$111:$AT$120</c:f>
              <c:strCache>
                <c:ptCount val="10"/>
                <c:pt idx="0">
                  <c:v>NORDIC COUNTRIES</c:v>
                </c:pt>
                <c:pt idx="1">
                  <c:v>BELGIUM</c:v>
                </c:pt>
                <c:pt idx="2">
                  <c:v>INDIA</c:v>
                </c:pt>
                <c:pt idx="3">
                  <c:v>FRANCE</c:v>
                </c:pt>
                <c:pt idx="4">
                  <c:v>OCEANIA</c:v>
                </c:pt>
                <c:pt idx="5">
                  <c:v>GREECE</c:v>
                </c:pt>
                <c:pt idx="6">
                  <c:v>BRAZIL</c:v>
                </c:pt>
                <c:pt idx="7">
                  <c:v>POLAND</c:v>
                </c:pt>
                <c:pt idx="8">
                  <c:v>INDONESIA</c:v>
                </c:pt>
                <c:pt idx="9">
                  <c:v>CHINA</c:v>
                </c:pt>
              </c:strCache>
            </c:strRef>
          </c:cat>
          <c:val>
            <c:numRef>
              <c:f>topten!$AT$101:$AT$110</c:f>
              <c:numCache>
                <c:formatCode>0.00%</c:formatCode>
                <c:ptCount val="10"/>
                <c:pt idx="0">
                  <c:v>5.0304035378662126E-2</c:v>
                </c:pt>
                <c:pt idx="1">
                  <c:v>6.8883610451306421E-2</c:v>
                </c:pt>
                <c:pt idx="2">
                  <c:v>7.2066706372841072E-2</c:v>
                </c:pt>
                <c:pt idx="3">
                  <c:v>8.2878581173260635E-2</c:v>
                </c:pt>
                <c:pt idx="4">
                  <c:v>0.11209964412811368</c:v>
                </c:pt>
                <c:pt idx="5">
                  <c:v>0.74471992653810837</c:v>
                </c:pt>
                <c:pt idx="6">
                  <c:v>0.74563591022443898</c:v>
                </c:pt>
                <c:pt idx="7">
                  <c:v>0.99768384481760286</c:v>
                </c:pt>
                <c:pt idx="8">
                  <c:v>1.3210831721470018</c:v>
                </c:pt>
                <c:pt idx="9">
                  <c:v>2.0065359477124178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EFF-4D2A-8DF4-C91EAEBBA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2137016"/>
        <c:axId val="202137800"/>
        <c:axId val="0"/>
      </c:bar3DChart>
      <c:catAx>
        <c:axId val="20213701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02137800"/>
        <c:crosses val="autoZero"/>
        <c:auto val="1"/>
        <c:lblAlgn val="ctr"/>
        <c:lblOffset val="100"/>
        <c:noMultiLvlLbl val="0"/>
      </c:catAx>
      <c:valAx>
        <c:axId val="202137800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202137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 שינוי מצטבר</a:t>
            </a:r>
            <a:r>
              <a:rPr lang="he-IL" baseline="0"/>
              <a:t> 2017/15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topten!$AK$111:$AK$120</c:f>
              <c:strCache>
                <c:ptCount val="10"/>
                <c:pt idx="0">
                  <c:v>      DENMARK</c:v>
                </c:pt>
                <c:pt idx="1">
                  <c:v>RUSSIA</c:v>
                </c:pt>
                <c:pt idx="2">
                  <c:v>FRANCE</c:v>
                </c:pt>
                <c:pt idx="3">
                  <c:v>      SWEDEN</c:v>
                </c:pt>
                <c:pt idx="4">
                  <c:v>UNITED KINGDOM</c:v>
                </c:pt>
                <c:pt idx="5">
                  <c:v>SLOVAKIA</c:v>
                </c:pt>
                <c:pt idx="6">
                  <c:v>PHILIPPINES</c:v>
                </c:pt>
                <c:pt idx="7">
                  <c:v>INDONESIA</c:v>
                </c:pt>
                <c:pt idx="8">
                  <c:v>LITHUANIA</c:v>
                </c:pt>
                <c:pt idx="9">
                  <c:v>CHINA</c:v>
                </c:pt>
              </c:strCache>
            </c:strRef>
          </c:cat>
          <c:val>
            <c:numRef>
              <c:f>topten!$AK$101:$AK$110</c:f>
              <c:numCache>
                <c:formatCode>0.00%</c:formatCode>
                <c:ptCount val="10"/>
                <c:pt idx="0">
                  <c:v>-8.0919080919081177E-2</c:v>
                </c:pt>
                <c:pt idx="1">
                  <c:v>2.2524547841095366E-2</c:v>
                </c:pt>
                <c:pt idx="2">
                  <c:v>2.4895717332628742E-2</c:v>
                </c:pt>
                <c:pt idx="3">
                  <c:v>3.4330985915492995E-2</c:v>
                </c:pt>
                <c:pt idx="4">
                  <c:v>5.2631578947368363E-2</c:v>
                </c:pt>
                <c:pt idx="5">
                  <c:v>1.0342117429496072</c:v>
                </c:pt>
                <c:pt idx="6">
                  <c:v>1.079107505070994</c:v>
                </c:pt>
                <c:pt idx="7">
                  <c:v>1.1803399852180343</c:v>
                </c:pt>
                <c:pt idx="8">
                  <c:v>1.2960229602296023</c:v>
                </c:pt>
                <c:pt idx="9">
                  <c:v>1.7453671928620453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67D-4E83-823B-EBE7F9AC9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89535944"/>
        <c:axId val="290134008"/>
        <c:axId val="0"/>
      </c:bar3DChart>
      <c:catAx>
        <c:axId val="28953594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90134008"/>
        <c:crosses val="autoZero"/>
        <c:auto val="1"/>
        <c:lblAlgn val="ctr"/>
        <c:lblOffset val="100"/>
        <c:noMultiLvlLbl val="0"/>
      </c:catAx>
      <c:valAx>
        <c:axId val="290134008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289535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 שינוי חודשי 2017/16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topten!$AN$111:$AN$120</c:f>
              <c:strCache>
                <c:ptCount val="10"/>
                <c:pt idx="0">
                  <c:v>      DENMARK</c:v>
                </c:pt>
                <c:pt idx="1">
                  <c:v>NORDIC COUNTRIES</c:v>
                </c:pt>
                <c:pt idx="2">
                  <c:v>BELGIUM</c:v>
                </c:pt>
                <c:pt idx="3">
                  <c:v>      FINLAND</c:v>
                </c:pt>
                <c:pt idx="4">
                  <c:v>      SWEDEN</c:v>
                </c:pt>
                <c:pt idx="5">
                  <c:v>CZECH REP.</c:v>
                </c:pt>
                <c:pt idx="6">
                  <c:v>KOREA</c:v>
                </c:pt>
                <c:pt idx="7">
                  <c:v>INDONESIA</c:v>
                </c:pt>
                <c:pt idx="8">
                  <c:v>CHINA</c:v>
                </c:pt>
                <c:pt idx="9">
                  <c:v>SLOVAKIA</c:v>
                </c:pt>
              </c:strCache>
            </c:strRef>
          </c:cat>
          <c:val>
            <c:numRef>
              <c:f>topten!$AN$101:$AN$110</c:f>
              <c:numCache>
                <c:formatCode>0.00%</c:formatCode>
                <c:ptCount val="10"/>
                <c:pt idx="0">
                  <c:v>-0.33797909407665516</c:v>
                </c:pt>
                <c:pt idx="1">
                  <c:v>-0.1910112359550562</c:v>
                </c:pt>
                <c:pt idx="2">
                  <c:v>-0.14670167377748611</c:v>
                </c:pt>
                <c:pt idx="3">
                  <c:v>-0.12049252418645562</c:v>
                </c:pt>
                <c:pt idx="4">
                  <c:v>-0.10865874363327666</c:v>
                </c:pt>
                <c:pt idx="5">
                  <c:v>0.83823529411764697</c:v>
                </c:pt>
                <c:pt idx="6">
                  <c:v>0.88492063492063489</c:v>
                </c:pt>
                <c:pt idx="7">
                  <c:v>1.2276366167768882</c:v>
                </c:pt>
                <c:pt idx="8">
                  <c:v>1.3068552774755169</c:v>
                </c:pt>
                <c:pt idx="9">
                  <c:v>1.5988700564971747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A78-4C99-8F64-E1F8AFAB9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0139104"/>
        <c:axId val="290138712"/>
        <c:axId val="0"/>
      </c:bar3DChart>
      <c:catAx>
        <c:axId val="29013910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90138712"/>
        <c:crosses val="autoZero"/>
        <c:auto val="1"/>
        <c:lblAlgn val="ctr"/>
        <c:lblOffset val="100"/>
        <c:noMultiLvlLbl val="0"/>
      </c:catAx>
      <c:valAx>
        <c:axId val="290138712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290139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 שינוי חודשי 2017/15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topten!$AM$111:$AM$120</c:f>
              <c:strCache>
                <c:ptCount val="10"/>
                <c:pt idx="0">
                  <c:v>      DENMARK</c:v>
                </c:pt>
                <c:pt idx="1">
                  <c:v>NORDIC COUNTRIES</c:v>
                </c:pt>
                <c:pt idx="2">
                  <c:v>UNITED KINGDOM</c:v>
                </c:pt>
                <c:pt idx="3">
                  <c:v>BELGIUM</c:v>
                </c:pt>
                <c:pt idx="4">
                  <c:v>FRANCE</c:v>
                </c:pt>
                <c:pt idx="5">
                  <c:v>INDIA</c:v>
                </c:pt>
                <c:pt idx="6">
                  <c:v>SLOVAKIA</c:v>
                </c:pt>
                <c:pt idx="7">
                  <c:v>PHILIPPINES</c:v>
                </c:pt>
                <c:pt idx="8">
                  <c:v>INDONESIA</c:v>
                </c:pt>
                <c:pt idx="9">
                  <c:v>CHINA</c:v>
                </c:pt>
              </c:strCache>
            </c:strRef>
          </c:cat>
          <c:val>
            <c:numRef>
              <c:f>topten!$AM$101:$AM$110</c:f>
              <c:numCache>
                <c:formatCode>0.00%</c:formatCode>
                <c:ptCount val="10"/>
                <c:pt idx="0">
                  <c:v>-0.27948426241941604</c:v>
                </c:pt>
                <c:pt idx="1">
                  <c:v>-9.5136357923840564E-2</c:v>
                </c:pt>
                <c:pt idx="2">
                  <c:v>-7.2830743653686247E-2</c:v>
                </c:pt>
                <c:pt idx="3">
                  <c:v>-5.6603773584905537E-2</c:v>
                </c:pt>
                <c:pt idx="4">
                  <c:v>-3.5323478594739721E-2</c:v>
                </c:pt>
                <c:pt idx="5">
                  <c:v>0.93032015065913343</c:v>
                </c:pt>
                <c:pt idx="6">
                  <c:v>0.96749358426005116</c:v>
                </c:pt>
                <c:pt idx="7">
                  <c:v>1.4890190336749631</c:v>
                </c:pt>
                <c:pt idx="8">
                  <c:v>1.7813993915688831</c:v>
                </c:pt>
                <c:pt idx="9">
                  <c:v>2.0372492836676215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97E-4DF2-8241-9F222529D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0134400"/>
        <c:axId val="290133616"/>
        <c:axId val="0"/>
      </c:bar3DChart>
      <c:catAx>
        <c:axId val="29013440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90133616"/>
        <c:crosses val="autoZero"/>
        <c:auto val="1"/>
        <c:lblAlgn val="ctr"/>
        <c:lblOffset val="100"/>
        <c:noMultiLvlLbl val="0"/>
      </c:catAx>
      <c:valAx>
        <c:axId val="290133616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29013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 שינוי</a:t>
            </a:r>
            <a:r>
              <a:rPr lang="he-IL" baseline="0"/>
              <a:t> מצטבר 2017/16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topten!$AH$111:$AH$120</c:f>
              <c:strCache>
                <c:ptCount val="10"/>
                <c:pt idx="0">
                  <c:v>EGYPT</c:v>
                </c:pt>
                <c:pt idx="1">
                  <c:v>BELARUS</c:v>
                </c:pt>
                <c:pt idx="2">
                  <c:v>      DENMARK</c:v>
                </c:pt>
                <c:pt idx="3">
                  <c:v>NORDIC COUNTRIES</c:v>
                </c:pt>
                <c:pt idx="4">
                  <c:v>FRANCE</c:v>
                </c:pt>
                <c:pt idx="5">
                  <c:v>ROMANIA</c:v>
                </c:pt>
                <c:pt idx="6">
                  <c:v>PHILIPPINES</c:v>
                </c:pt>
                <c:pt idx="7">
                  <c:v>BRAZIL</c:v>
                </c:pt>
                <c:pt idx="8">
                  <c:v>INDONESIA</c:v>
                </c:pt>
                <c:pt idx="9">
                  <c:v>CHINA</c:v>
                </c:pt>
              </c:strCache>
            </c:strRef>
          </c:cat>
          <c:val>
            <c:numRef>
              <c:f>topten!$AH$101:$AH$110</c:f>
              <c:numCache>
                <c:formatCode>0.00%</c:formatCode>
                <c:ptCount val="10"/>
                <c:pt idx="0">
                  <c:v>-0.24914675767918093</c:v>
                </c:pt>
                <c:pt idx="1">
                  <c:v>-0.11585927426782083</c:v>
                </c:pt>
                <c:pt idx="2">
                  <c:v>-9.3904448105436633E-2</c:v>
                </c:pt>
                <c:pt idx="3">
                  <c:v>5.9007921379252037E-2</c:v>
                </c:pt>
                <c:pt idx="4">
                  <c:v>6.2291039290541139E-2</c:v>
                </c:pt>
                <c:pt idx="5">
                  <c:v>0.62172984516817942</c:v>
                </c:pt>
                <c:pt idx="6">
                  <c:v>0.69445203607543027</c:v>
                </c:pt>
                <c:pt idx="7">
                  <c:v>0.69806643529995038</c:v>
                </c:pt>
                <c:pt idx="8">
                  <c:v>0.98657718120805371</c:v>
                </c:pt>
                <c:pt idx="9">
                  <c:v>1.1583167540845238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DBB-4B75-9FA0-4A0D27376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0132048"/>
        <c:axId val="290134792"/>
        <c:axId val="0"/>
      </c:bar3DChart>
      <c:catAx>
        <c:axId val="29013204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90134792"/>
        <c:crosses val="autoZero"/>
        <c:auto val="1"/>
        <c:lblAlgn val="ctr"/>
        <c:lblOffset val="100"/>
        <c:noMultiLvlLbl val="0"/>
      </c:catAx>
      <c:valAx>
        <c:axId val="290134792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290132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</a:t>
            </a:r>
            <a:r>
              <a:rPr lang="he-IL" baseline="0"/>
              <a:t> שינוי מצטבר 2017/15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topten!$AG$111:$AG$120</c:f>
              <c:strCache>
                <c:ptCount val="10"/>
                <c:pt idx="0">
                  <c:v>      DENMARK</c:v>
                </c:pt>
                <c:pt idx="1">
                  <c:v>BRAZIL</c:v>
                </c:pt>
                <c:pt idx="2">
                  <c:v>      SWEDEN</c:v>
                </c:pt>
                <c:pt idx="3">
                  <c:v>RUSSIA</c:v>
                </c:pt>
                <c:pt idx="4">
                  <c:v>FRANCE</c:v>
                </c:pt>
                <c:pt idx="5">
                  <c:v>TURKEY</c:v>
                </c:pt>
                <c:pt idx="6">
                  <c:v>ROMANIA</c:v>
                </c:pt>
                <c:pt idx="7">
                  <c:v>PHILIPPINES</c:v>
                </c:pt>
                <c:pt idx="8">
                  <c:v>INDONESIA</c:v>
                </c:pt>
                <c:pt idx="9">
                  <c:v>CHINA</c:v>
                </c:pt>
              </c:strCache>
            </c:strRef>
          </c:cat>
          <c:val>
            <c:numRef>
              <c:f>topten!$AG$101:$AG$110</c:f>
              <c:numCache>
                <c:formatCode>0.00%</c:formatCode>
                <c:ptCount val="10"/>
                <c:pt idx="0">
                  <c:v>-2.2222222222222365E-2</c:v>
                </c:pt>
                <c:pt idx="1">
                  <c:v>-9.9725393843042021E-3</c:v>
                </c:pt>
                <c:pt idx="2">
                  <c:v>1.5212981744423537E-3</c:v>
                </c:pt>
                <c:pt idx="3">
                  <c:v>9.431756177410433E-3</c:v>
                </c:pt>
                <c:pt idx="4">
                  <c:v>4.4118675274430696E-2</c:v>
                </c:pt>
                <c:pt idx="5">
                  <c:v>0.60813527255527955</c:v>
                </c:pt>
                <c:pt idx="6">
                  <c:v>0.67493796526054584</c:v>
                </c:pt>
                <c:pt idx="7">
                  <c:v>0.69584245076586426</c:v>
                </c:pt>
                <c:pt idx="8">
                  <c:v>1.0518508248994873</c:v>
                </c:pt>
                <c:pt idx="9">
                  <c:v>1.6263663707725038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40E-4B2B-90F6-70304A197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0136752"/>
        <c:axId val="290135968"/>
        <c:axId val="0"/>
      </c:bar3DChart>
      <c:catAx>
        <c:axId val="29013675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90135968"/>
        <c:crosses val="autoZero"/>
        <c:auto val="1"/>
        <c:lblAlgn val="ctr"/>
        <c:lblOffset val="100"/>
        <c:noMultiLvlLbl val="0"/>
      </c:catAx>
      <c:valAx>
        <c:axId val="290135968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290136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 שינוי חודשי 2017/16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topten!$AJ$111:$AJ$120</c:f>
              <c:strCache>
                <c:ptCount val="10"/>
                <c:pt idx="0">
                  <c:v>EGYPT</c:v>
                </c:pt>
                <c:pt idx="1">
                  <c:v>FRANCE</c:v>
                </c:pt>
                <c:pt idx="2">
                  <c:v>KOREA</c:v>
                </c:pt>
                <c:pt idx="3">
                  <c:v>UKRAINE</c:v>
                </c:pt>
                <c:pt idx="4">
                  <c:v>INDIA</c:v>
                </c:pt>
                <c:pt idx="5">
                  <c:v>SOUTH AFRICA</c:v>
                </c:pt>
                <c:pt idx="6">
                  <c:v>ARGENTINA</c:v>
                </c:pt>
                <c:pt idx="7">
                  <c:v>SPAIN</c:v>
                </c:pt>
                <c:pt idx="8">
                  <c:v>PHILIPPINES</c:v>
                </c:pt>
                <c:pt idx="9">
                  <c:v>MEXICO</c:v>
                </c:pt>
              </c:strCache>
            </c:strRef>
          </c:cat>
          <c:val>
            <c:numRef>
              <c:f>topten!$AJ$101:$AJ$110</c:f>
              <c:numCache>
                <c:formatCode>0.00%</c:formatCode>
                <c:ptCount val="10"/>
                <c:pt idx="0">
                  <c:v>-0.24500370096225021</c:v>
                </c:pt>
                <c:pt idx="1">
                  <c:v>8.5018749615786593E-2</c:v>
                </c:pt>
                <c:pt idx="2">
                  <c:v>0.19292472233648694</c:v>
                </c:pt>
                <c:pt idx="3">
                  <c:v>0.19438366156090447</c:v>
                </c:pt>
                <c:pt idx="4">
                  <c:v>0.19970468807678099</c:v>
                </c:pt>
                <c:pt idx="5">
                  <c:v>0.78316690442225401</c:v>
                </c:pt>
                <c:pt idx="6">
                  <c:v>0.9429265330904677</c:v>
                </c:pt>
                <c:pt idx="7">
                  <c:v>1.0362828582006665</c:v>
                </c:pt>
                <c:pt idx="8">
                  <c:v>1.0487804878048781</c:v>
                </c:pt>
                <c:pt idx="9">
                  <c:v>1.7370478983382212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1D6-4E71-AF35-44BDBE5DB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0135184"/>
        <c:axId val="290138320"/>
        <c:axId val="0"/>
      </c:bar3DChart>
      <c:catAx>
        <c:axId val="29013518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90138320"/>
        <c:crosses val="autoZero"/>
        <c:auto val="1"/>
        <c:lblAlgn val="ctr"/>
        <c:lblOffset val="100"/>
        <c:noMultiLvlLbl val="0"/>
      </c:catAx>
      <c:valAx>
        <c:axId val="290138320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290135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</a:t>
            </a:r>
            <a:r>
              <a:rPr lang="he-IL" baseline="0"/>
              <a:t> שינוי חודשי 2017/15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topten!$AI$111:$AI$120</c:f>
              <c:strCache>
                <c:ptCount val="10"/>
                <c:pt idx="0">
                  <c:v>BRAZIL</c:v>
                </c:pt>
                <c:pt idx="1">
                  <c:v>POLAND</c:v>
                </c:pt>
                <c:pt idx="2">
                  <c:v>      SWEDEN</c:v>
                </c:pt>
                <c:pt idx="3">
                  <c:v>RUSSIA</c:v>
                </c:pt>
                <c:pt idx="4">
                  <c:v>INDIA</c:v>
                </c:pt>
                <c:pt idx="5">
                  <c:v>GERMANY</c:v>
                </c:pt>
                <c:pt idx="6">
                  <c:v>NETHERLANDS</c:v>
                </c:pt>
                <c:pt idx="7">
                  <c:v>AUSTRIA</c:v>
                </c:pt>
                <c:pt idx="8">
                  <c:v>INDONESIA</c:v>
                </c:pt>
                <c:pt idx="9">
                  <c:v>CHINA</c:v>
                </c:pt>
              </c:strCache>
            </c:strRef>
          </c:cat>
          <c:val>
            <c:numRef>
              <c:f>topten!$AI$101:$AI$110</c:f>
              <c:numCache>
                <c:formatCode>0.00%</c:formatCode>
                <c:ptCount val="10"/>
                <c:pt idx="0">
                  <c:v>-0.18221313570150766</c:v>
                </c:pt>
                <c:pt idx="1">
                  <c:v>-0.12980420594633779</c:v>
                </c:pt>
                <c:pt idx="2">
                  <c:v>-4.3062200956937691E-2</c:v>
                </c:pt>
                <c:pt idx="3">
                  <c:v>-1.7366780466082865E-2</c:v>
                </c:pt>
                <c:pt idx="4">
                  <c:v>6.9958847736625529E-2</c:v>
                </c:pt>
                <c:pt idx="5">
                  <c:v>0.56585156585156571</c:v>
                </c:pt>
                <c:pt idx="6">
                  <c:v>0.57227085938895828</c:v>
                </c:pt>
                <c:pt idx="7">
                  <c:v>0.59840159840159868</c:v>
                </c:pt>
                <c:pt idx="8">
                  <c:v>0.66574125485841207</c:v>
                </c:pt>
                <c:pt idx="9">
                  <c:v>1.2727272727272729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CB4-4D19-AFE9-2BA2987B2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0135576"/>
        <c:axId val="290137536"/>
        <c:axId val="0"/>
      </c:bar3DChart>
      <c:catAx>
        <c:axId val="29013557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90137536"/>
        <c:crosses val="autoZero"/>
        <c:auto val="1"/>
        <c:lblAlgn val="ctr"/>
        <c:lblOffset val="100"/>
        <c:noMultiLvlLbl val="0"/>
      </c:catAx>
      <c:valAx>
        <c:axId val="290137536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290135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 שינוי מצטבר  מדינות בולטות 2017/16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topten!$AD$111:$AD$120</c:f>
              <c:strCache>
                <c:ptCount val="10"/>
                <c:pt idx="0">
                  <c:v>BELARUS</c:v>
                </c:pt>
                <c:pt idx="1">
                  <c:v>NORDIC COUNTRIES</c:v>
                </c:pt>
                <c:pt idx="2">
                  <c:v>FRANCE</c:v>
                </c:pt>
                <c:pt idx="3">
                  <c:v>BELGIUM</c:v>
                </c:pt>
                <c:pt idx="4">
                  <c:v>UNITED KINGDOM</c:v>
                </c:pt>
                <c:pt idx="5">
                  <c:v>GREECE</c:v>
                </c:pt>
                <c:pt idx="6">
                  <c:v>CZECH REP.</c:v>
                </c:pt>
                <c:pt idx="7">
                  <c:v>BRAZIL</c:v>
                </c:pt>
                <c:pt idx="8">
                  <c:v>INDONESIA</c:v>
                </c:pt>
                <c:pt idx="9">
                  <c:v>CHINA</c:v>
                </c:pt>
              </c:strCache>
            </c:strRef>
          </c:cat>
          <c:val>
            <c:numRef>
              <c:f>topten!$AD$101:$AD$110</c:f>
              <c:numCache>
                <c:formatCode>0.00%</c:formatCode>
                <c:ptCount val="10"/>
                <c:pt idx="0">
                  <c:v>-4.0331993256386922E-2</c:v>
                </c:pt>
                <c:pt idx="1">
                  <c:v>7.026686719597075E-2</c:v>
                </c:pt>
                <c:pt idx="2">
                  <c:v>9.5249928670697814E-2</c:v>
                </c:pt>
                <c:pt idx="3">
                  <c:v>0.11160515784793246</c:v>
                </c:pt>
                <c:pt idx="4">
                  <c:v>0.1124410335844539</c:v>
                </c:pt>
                <c:pt idx="5">
                  <c:v>0.6058394160583942</c:v>
                </c:pt>
                <c:pt idx="6">
                  <c:v>0.60707836764174794</c:v>
                </c:pt>
                <c:pt idx="7">
                  <c:v>0.6998159992990447</c:v>
                </c:pt>
                <c:pt idx="8">
                  <c:v>0.8185575532134739</c:v>
                </c:pt>
                <c:pt idx="9">
                  <c:v>0.93422829454285483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E56-4FE6-AE71-F5A28A65E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1013856"/>
        <c:axId val="291018560"/>
        <c:axId val="0"/>
      </c:bar3DChart>
      <c:catAx>
        <c:axId val="29101385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91018560"/>
        <c:crosses val="autoZero"/>
        <c:auto val="1"/>
        <c:lblAlgn val="ctr"/>
        <c:lblOffset val="100"/>
        <c:noMultiLvlLbl val="0"/>
      </c:catAx>
      <c:valAx>
        <c:axId val="291018560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291013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</a:t>
            </a:r>
            <a:r>
              <a:rPr lang="he-IL" baseline="0"/>
              <a:t> שינוי מצטבר 2017/15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topten!$AC$111:$AC$120</c:f>
              <c:strCache>
                <c:ptCount val="10"/>
                <c:pt idx="0">
                  <c:v>      SWEDEN</c:v>
                </c:pt>
                <c:pt idx="1">
                  <c:v>RUSSIA</c:v>
                </c:pt>
                <c:pt idx="2">
                  <c:v>NORDIC COUNTRIES</c:v>
                </c:pt>
                <c:pt idx="3">
                  <c:v>FRANCE</c:v>
                </c:pt>
                <c:pt idx="4">
                  <c:v>BRAZIL</c:v>
                </c:pt>
                <c:pt idx="5">
                  <c:v>GREECE</c:v>
                </c:pt>
                <c:pt idx="6">
                  <c:v>PHILIPPINES</c:v>
                </c:pt>
                <c:pt idx="7">
                  <c:v>ROMANIA</c:v>
                </c:pt>
                <c:pt idx="8">
                  <c:v>INDONESIA</c:v>
                </c:pt>
                <c:pt idx="9">
                  <c:v>CHINA</c:v>
                </c:pt>
              </c:strCache>
            </c:strRef>
          </c:cat>
          <c:val>
            <c:numRef>
              <c:f>topten!$AC$101:$AC$110</c:f>
              <c:numCache>
                <c:formatCode>0.00%</c:formatCode>
                <c:ptCount val="10"/>
                <c:pt idx="0">
                  <c:v>-1.4541929229276995E-3</c:v>
                </c:pt>
                <c:pt idx="1">
                  <c:v>4.821671758253876E-3</c:v>
                </c:pt>
                <c:pt idx="2">
                  <c:v>2.9852253222495184E-2</c:v>
                </c:pt>
                <c:pt idx="3">
                  <c:v>4.5703389309220688E-2</c:v>
                </c:pt>
                <c:pt idx="4">
                  <c:v>5.8547498226659833E-2</c:v>
                </c:pt>
                <c:pt idx="5">
                  <c:v>0.67198662410700716</c:v>
                </c:pt>
                <c:pt idx="6">
                  <c:v>0.68758113370835128</c:v>
                </c:pt>
                <c:pt idx="7">
                  <c:v>0.75541878512175531</c:v>
                </c:pt>
                <c:pt idx="8">
                  <c:v>0.81088589361045393</c:v>
                </c:pt>
                <c:pt idx="9">
                  <c:v>1.6055320742603389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83B-4604-95F3-B27C06385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1014248"/>
        <c:axId val="291015424"/>
        <c:axId val="0"/>
      </c:bar3DChart>
      <c:catAx>
        <c:axId val="29101424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91015424"/>
        <c:crosses val="autoZero"/>
        <c:auto val="1"/>
        <c:lblAlgn val="ctr"/>
        <c:lblOffset val="100"/>
        <c:noMultiLvlLbl val="0"/>
      </c:catAx>
      <c:valAx>
        <c:axId val="291015424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291014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 שינוי חודשי 2017/16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topten!$AF$111:$AF$120</c:f>
              <c:strCache>
                <c:ptCount val="10"/>
                <c:pt idx="0">
                  <c:v>TURKEY</c:v>
                </c:pt>
                <c:pt idx="1">
                  <c:v>UNITED KINGDOM</c:v>
                </c:pt>
                <c:pt idx="2">
                  <c:v>ARGENTINA</c:v>
                </c:pt>
                <c:pt idx="3">
                  <c:v>BELGIUM</c:v>
                </c:pt>
                <c:pt idx="4">
                  <c:v>GERMANY</c:v>
                </c:pt>
                <c:pt idx="5">
                  <c:v>CHINA</c:v>
                </c:pt>
                <c:pt idx="6">
                  <c:v>CZECH REP.</c:v>
                </c:pt>
                <c:pt idx="7">
                  <c:v>BRAZIL</c:v>
                </c:pt>
                <c:pt idx="8">
                  <c:v>KOREA</c:v>
                </c:pt>
                <c:pt idx="9">
                  <c:v>GREECE</c:v>
                </c:pt>
              </c:strCache>
            </c:strRef>
          </c:cat>
          <c:val>
            <c:numRef>
              <c:f>topten!$AF$101:$AF$110</c:f>
              <c:numCache>
                <c:formatCode>0.00%</c:formatCode>
                <c:ptCount val="10"/>
                <c:pt idx="0">
                  <c:v>-5.7920446615491894E-2</c:v>
                </c:pt>
                <c:pt idx="1">
                  <c:v>-4.3491256912270293E-2</c:v>
                </c:pt>
                <c:pt idx="2">
                  <c:v>-3.0067895247332665E-2</c:v>
                </c:pt>
                <c:pt idx="3">
                  <c:v>-2.3549684089603784E-2</c:v>
                </c:pt>
                <c:pt idx="4">
                  <c:v>7.7437148615677742E-3</c:v>
                </c:pt>
                <c:pt idx="5">
                  <c:v>0.50157141194273103</c:v>
                </c:pt>
                <c:pt idx="6">
                  <c:v>0.58610271903323263</c:v>
                </c:pt>
                <c:pt idx="7">
                  <c:v>0.70403587443946192</c:v>
                </c:pt>
                <c:pt idx="8">
                  <c:v>0.71534538711172924</c:v>
                </c:pt>
                <c:pt idx="9">
                  <c:v>0.82389937106918221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8F5-4686-B8CF-4EE9AE04B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1016600"/>
        <c:axId val="291014640"/>
        <c:axId val="0"/>
      </c:bar3DChart>
      <c:catAx>
        <c:axId val="29101660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91014640"/>
        <c:crosses val="autoZero"/>
        <c:auto val="1"/>
        <c:lblAlgn val="ctr"/>
        <c:lblOffset val="100"/>
        <c:noMultiLvlLbl val="0"/>
      </c:catAx>
      <c:valAx>
        <c:axId val="291014640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291016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1800" b="1">
                <a:cs typeface="+mn-cs"/>
              </a:rPr>
              <a:t>אחוז שינוי חודשי 2017/2015</a:t>
            </a:r>
            <a:r>
              <a:rPr lang="he-IL" sz="1800" b="1" baseline="0">
                <a:cs typeface="+mn-cs"/>
              </a:rPr>
              <a:t> מדינות בולטות</a:t>
            </a:r>
            <a:endParaRPr lang="en-US" sz="1800" b="1">
              <a:cs typeface="+mn-cs"/>
            </a:endParaRPr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2017/16</c:v>
          </c:tx>
          <c:spPr>
            <a:solidFill>
              <a:srgbClr val="17375E"/>
            </a:solidFill>
          </c:spPr>
          <c:invertIfNegative val="1"/>
          <c:cat>
            <c:strRef>
              <c:f>topten!$AT$111:$AT$120</c:f>
              <c:strCache>
                <c:ptCount val="10"/>
                <c:pt idx="0">
                  <c:v>NORDIC COUNTRIES</c:v>
                </c:pt>
                <c:pt idx="1">
                  <c:v>BELGIUM</c:v>
                </c:pt>
                <c:pt idx="2">
                  <c:v>INDIA</c:v>
                </c:pt>
                <c:pt idx="3">
                  <c:v>FRANCE</c:v>
                </c:pt>
                <c:pt idx="4">
                  <c:v>OCEANIA</c:v>
                </c:pt>
                <c:pt idx="5">
                  <c:v>GREECE</c:v>
                </c:pt>
                <c:pt idx="6">
                  <c:v>BRAZIL</c:v>
                </c:pt>
                <c:pt idx="7">
                  <c:v>POLAND</c:v>
                </c:pt>
                <c:pt idx="8">
                  <c:v>INDONESIA</c:v>
                </c:pt>
                <c:pt idx="9">
                  <c:v>CHINA</c:v>
                </c:pt>
              </c:strCache>
            </c:strRef>
          </c:cat>
          <c:val>
            <c:numRef>
              <c:f>topten!$AS$101:$AS$110</c:f>
              <c:numCache>
                <c:formatCode>_(* #,##0.00_);_(* \(#,##0.00\);_(* "-"??_);_(@_)</c:formatCode>
                <c:ptCount val="10"/>
                <c:pt idx="0">
                  <c:v>2.1920000000000002</c:v>
                </c:pt>
                <c:pt idx="1">
                  <c:v>2.63</c:v>
                </c:pt>
                <c:pt idx="2">
                  <c:v>2.7050000000000001</c:v>
                </c:pt>
                <c:pt idx="3">
                  <c:v>3.4829999999999997</c:v>
                </c:pt>
                <c:pt idx="4">
                  <c:v>3.633</c:v>
                </c:pt>
                <c:pt idx="5">
                  <c:v>32.872999999999998</c:v>
                </c:pt>
                <c:pt idx="6">
                  <c:v>47.930999999999997</c:v>
                </c:pt>
                <c:pt idx="7">
                  <c:v>85.635999999999996</c:v>
                </c:pt>
                <c:pt idx="8">
                  <c:v>110.80099999999999</c:v>
                </c:pt>
                <c:pt idx="9">
                  <c:v>198.185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EFF-4D2A-8DF4-C91EAEBBA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2136624"/>
        <c:axId val="202138584"/>
        <c:axId val="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v>%change 2016/14</c:v>
                </c:tx>
                <c:spPr>
                  <a:solidFill>
                    <a:srgbClr val="17375E"/>
                  </a:solidFill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topten!$AS$111:$AS$120</c15:sqref>
                        </c15:formulaRef>
                      </c:ext>
                    </c:extLst>
                    <c:strCache>
                      <c:ptCount val="10"/>
                      <c:pt idx="0">
                        <c:v>      SWEDEN</c:v>
                      </c:pt>
                      <c:pt idx="1">
                        <c:v>HUNGARY</c:v>
                      </c:pt>
                      <c:pt idx="2">
                        <c:v>INDONESIA</c:v>
                      </c:pt>
                      <c:pt idx="3">
                        <c:v>AUSTRIA</c:v>
                      </c:pt>
                      <c:pt idx="4">
                        <c:v>INDIA</c:v>
                      </c:pt>
                      <c:pt idx="5">
                        <c:v>FRANCE</c:v>
                      </c:pt>
                      <c:pt idx="6">
                        <c:v>TOTAL CIS</c:v>
                      </c:pt>
                      <c:pt idx="7">
                        <c:v>UNITED STATES</c:v>
                      </c:pt>
                      <c:pt idx="8">
                        <c:v>AMERICA</c:v>
                      </c:pt>
                      <c:pt idx="9">
                        <c:v>EUROPE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topten!$AS$101:$AS$110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0"/>
                      <c:pt idx="0">
                        <c:v>2.1920000000000002</c:v>
                      </c:pt>
                      <c:pt idx="1">
                        <c:v>2.63</c:v>
                      </c:pt>
                      <c:pt idx="2">
                        <c:v>2.7050000000000001</c:v>
                      </c:pt>
                      <c:pt idx="3">
                        <c:v>3.4829999999999997</c:v>
                      </c:pt>
                      <c:pt idx="4">
                        <c:v>3.633</c:v>
                      </c:pt>
                      <c:pt idx="5">
                        <c:v>32.872999999999998</c:v>
                      </c:pt>
                      <c:pt idx="6">
                        <c:v>47.930999999999997</c:v>
                      </c:pt>
                      <c:pt idx="7">
                        <c:v>85.635999999999996</c:v>
                      </c:pt>
                      <c:pt idx="8">
                        <c:v>110.80099999999999</c:v>
                      </c:pt>
                      <c:pt idx="9">
                        <c:v>198.185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2E2-436C-9BF0-7E1B47DBED5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%change 2016/15</c:v>
                </c:tx>
                <c:spPr>
                  <a:solidFill>
                    <a:srgbClr val="17375E"/>
                  </a:solidFill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topten!$AT$111:$AT$120</c15:sqref>
                        </c15:formulaRef>
                      </c:ext>
                    </c:extLst>
                    <c:strCache>
                      <c:ptCount val="10"/>
                      <c:pt idx="0">
                        <c:v>NORDIC COUNTRIES</c:v>
                      </c:pt>
                      <c:pt idx="1">
                        <c:v>BELGIUM</c:v>
                      </c:pt>
                      <c:pt idx="2">
                        <c:v>INDIA</c:v>
                      </c:pt>
                      <c:pt idx="3">
                        <c:v>FRANCE</c:v>
                      </c:pt>
                      <c:pt idx="4">
                        <c:v>OCEANIA</c:v>
                      </c:pt>
                      <c:pt idx="5">
                        <c:v>GREECE</c:v>
                      </c:pt>
                      <c:pt idx="6">
                        <c:v>BRAZIL</c:v>
                      </c:pt>
                      <c:pt idx="7">
                        <c:v>POLAND</c:v>
                      </c:pt>
                      <c:pt idx="8">
                        <c:v>INDONESIA</c:v>
                      </c:pt>
                      <c:pt idx="9">
                        <c:v>CHINA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topten!$AT$101:$AT$110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>
                        <c:v>5.0304035378662126E-2</c:v>
                      </c:pt>
                      <c:pt idx="1">
                        <c:v>6.8883610451306421E-2</c:v>
                      </c:pt>
                      <c:pt idx="2">
                        <c:v>7.2066706372841072E-2</c:v>
                      </c:pt>
                      <c:pt idx="3">
                        <c:v>8.2878581173260635E-2</c:v>
                      </c:pt>
                      <c:pt idx="4">
                        <c:v>0.11209964412811368</c:v>
                      </c:pt>
                      <c:pt idx="5">
                        <c:v>0.74471992653810837</c:v>
                      </c:pt>
                      <c:pt idx="6">
                        <c:v>0.74563591022443898</c:v>
                      </c:pt>
                      <c:pt idx="7">
                        <c:v>0.99768384481760286</c:v>
                      </c:pt>
                      <c:pt idx="8">
                        <c:v>1.3210831721470018</c:v>
                      </c:pt>
                      <c:pt idx="9">
                        <c:v>2.0065359477124178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2E2-436C-9BF0-7E1B47DBED5F}"/>
                  </c:ext>
                </c:extLst>
              </c15:ser>
            </c15:filteredBarSeries>
          </c:ext>
        </c:extLst>
      </c:bar3DChart>
      <c:catAx>
        <c:axId val="20213662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02138584"/>
        <c:crosses val="autoZero"/>
        <c:auto val="1"/>
        <c:lblAlgn val="ctr"/>
        <c:lblOffset val="100"/>
        <c:noMultiLvlLbl val="0"/>
      </c:catAx>
      <c:valAx>
        <c:axId val="202138584"/>
        <c:scaling>
          <c:orientation val="minMax"/>
        </c:scaling>
        <c:delete val="0"/>
        <c:axPos val="r"/>
        <c:majorGridlines/>
        <c:numFmt formatCode="_(* #,##0.00_);_(* \(#,##0.00\);_(* &quot;-&quot;??_);_(@_)" sourceLinked="1"/>
        <c:majorTickMark val="out"/>
        <c:minorTickMark val="none"/>
        <c:tickLblPos val="nextTo"/>
        <c:crossAx val="202136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</a:t>
            </a:r>
            <a:r>
              <a:rPr lang="he-IL" baseline="0"/>
              <a:t> שינוי חודשי 2017/15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topten!$AE$111:$AE$120</c:f>
              <c:strCache>
                <c:ptCount val="10"/>
                <c:pt idx="0">
                  <c:v>NORDIC COUNTRIES</c:v>
                </c:pt>
                <c:pt idx="1">
                  <c:v>      SWEDEN</c:v>
                </c:pt>
                <c:pt idx="2">
                  <c:v>RUSSIA</c:v>
                </c:pt>
                <c:pt idx="3">
                  <c:v>NETHERLANDS</c:v>
                </c:pt>
                <c:pt idx="4">
                  <c:v>AUSTRIA</c:v>
                </c:pt>
                <c:pt idx="5">
                  <c:v>BELARUS</c:v>
                </c:pt>
                <c:pt idx="6">
                  <c:v>KOREA</c:v>
                </c:pt>
                <c:pt idx="7">
                  <c:v>ROMANIA</c:v>
                </c:pt>
                <c:pt idx="8">
                  <c:v>GREECE</c:v>
                </c:pt>
                <c:pt idx="9">
                  <c:v>CHINA</c:v>
                </c:pt>
              </c:strCache>
            </c:strRef>
          </c:cat>
          <c:val>
            <c:numRef>
              <c:f>topten!$AE$101:$AE$110</c:f>
              <c:numCache>
                <c:formatCode>0.00%</c:formatCode>
                <c:ptCount val="10"/>
                <c:pt idx="0">
                  <c:v>-0.12335629304946782</c:v>
                </c:pt>
                <c:pt idx="1">
                  <c:v>-1.1124845488257207E-2</c:v>
                </c:pt>
                <c:pt idx="2">
                  <c:v>-9.4240207147804345E-3</c:v>
                </c:pt>
                <c:pt idx="3">
                  <c:v>3.6090485235710457E-2</c:v>
                </c:pt>
                <c:pt idx="4">
                  <c:v>4.1666666666666741E-2</c:v>
                </c:pt>
                <c:pt idx="5">
                  <c:v>0.68067226890756305</c:v>
                </c:pt>
                <c:pt idx="6">
                  <c:v>0.86023127199597793</c:v>
                </c:pt>
                <c:pt idx="7">
                  <c:v>1.0349533157768733</c:v>
                </c:pt>
                <c:pt idx="8">
                  <c:v>1.0509193776520509</c:v>
                </c:pt>
                <c:pt idx="9">
                  <c:v>1.5494071146245063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C7-4703-BEBB-B534AF707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1017776"/>
        <c:axId val="291018168"/>
        <c:axId val="0"/>
      </c:bar3DChart>
      <c:catAx>
        <c:axId val="29101777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91018168"/>
        <c:crosses val="autoZero"/>
        <c:auto val="1"/>
        <c:lblAlgn val="ctr"/>
        <c:lblOffset val="100"/>
        <c:noMultiLvlLbl val="0"/>
      </c:catAx>
      <c:valAx>
        <c:axId val="291018168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291017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 שינוי</a:t>
            </a:r>
            <a:r>
              <a:rPr lang="he-IL" baseline="0"/>
              <a:t> מצטבר 2017/16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topten!$Z$111:$Z$120</c:f>
              <c:strCache>
                <c:ptCount val="10"/>
                <c:pt idx="0">
                  <c:v>JORDAN</c:v>
                </c:pt>
                <c:pt idx="1">
                  <c:v>BELARUS</c:v>
                </c:pt>
                <c:pt idx="2">
                  <c:v>BELGIUM</c:v>
                </c:pt>
                <c:pt idx="3">
                  <c:v>NORDIC COUNTRIES</c:v>
                </c:pt>
                <c:pt idx="4">
                  <c:v>FRANCE</c:v>
                </c:pt>
                <c:pt idx="5">
                  <c:v>CZECH REP.</c:v>
                </c:pt>
                <c:pt idx="6">
                  <c:v>GREECE</c:v>
                </c:pt>
                <c:pt idx="7">
                  <c:v>CHINA</c:v>
                </c:pt>
                <c:pt idx="8">
                  <c:v>BRAZIL</c:v>
                </c:pt>
                <c:pt idx="9">
                  <c:v>INDONESIA</c:v>
                </c:pt>
              </c:strCache>
            </c:strRef>
          </c:cat>
          <c:val>
            <c:numRef>
              <c:f>topten!$Z$101:$Z$110</c:f>
              <c:numCache>
                <c:formatCode>0.00%</c:formatCode>
                <c:ptCount val="10"/>
                <c:pt idx="0">
                  <c:v>2.000784621420193E-2</c:v>
                </c:pt>
                <c:pt idx="1">
                  <c:v>3.3402922755741082E-2</c:v>
                </c:pt>
                <c:pt idx="2">
                  <c:v>8.4531482399603508E-2</c:v>
                </c:pt>
                <c:pt idx="3">
                  <c:v>8.6076025321772498E-2</c:v>
                </c:pt>
                <c:pt idx="4">
                  <c:v>8.8350249494060007E-2</c:v>
                </c:pt>
                <c:pt idx="5">
                  <c:v>0.61832061068702271</c:v>
                </c:pt>
                <c:pt idx="6">
                  <c:v>0.64915709748350836</c:v>
                </c:pt>
                <c:pt idx="7">
                  <c:v>0.75801128828300923</c:v>
                </c:pt>
                <c:pt idx="8">
                  <c:v>0.76462217162373669</c:v>
                </c:pt>
                <c:pt idx="9">
                  <c:v>0.84196476241324092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889-4B79-9584-36ED308F1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1020128"/>
        <c:axId val="291015816"/>
        <c:axId val="0"/>
      </c:bar3DChart>
      <c:catAx>
        <c:axId val="29102012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91015816"/>
        <c:crosses val="autoZero"/>
        <c:auto val="1"/>
        <c:lblAlgn val="ctr"/>
        <c:lblOffset val="100"/>
        <c:noMultiLvlLbl val="0"/>
      </c:catAx>
      <c:valAx>
        <c:axId val="291015816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291020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 שינוי מצטבר</a:t>
            </a:r>
            <a:r>
              <a:rPr lang="he-IL" baseline="0"/>
              <a:t> 2017/15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topten!$Y$111:$Y$120</c:f>
              <c:strCache>
                <c:ptCount val="10"/>
                <c:pt idx="0">
                  <c:v>RUSSIA</c:v>
                </c:pt>
                <c:pt idx="1">
                  <c:v>JORDAN</c:v>
                </c:pt>
                <c:pt idx="2">
                  <c:v>BELARUS</c:v>
                </c:pt>
                <c:pt idx="3">
                  <c:v>POLAND</c:v>
                </c:pt>
                <c:pt idx="4">
                  <c:v>      SWEDEN</c:v>
                </c:pt>
                <c:pt idx="5">
                  <c:v>GREECE</c:v>
                </c:pt>
                <c:pt idx="6">
                  <c:v>KOREA</c:v>
                </c:pt>
                <c:pt idx="7">
                  <c:v>ROMANIA</c:v>
                </c:pt>
                <c:pt idx="8">
                  <c:v>INDONESIA</c:v>
                </c:pt>
                <c:pt idx="9">
                  <c:v>CHINA</c:v>
                </c:pt>
              </c:strCache>
            </c:strRef>
          </c:cat>
          <c:val>
            <c:numRef>
              <c:f>topten!$Y$101:$Y$110</c:f>
              <c:numCache>
                <c:formatCode>0.00%</c:formatCode>
                <c:ptCount val="10"/>
                <c:pt idx="0">
                  <c:v>-0.27996860013444202</c:v>
                </c:pt>
                <c:pt idx="1">
                  <c:v>-0.18273260687342829</c:v>
                </c:pt>
                <c:pt idx="2">
                  <c:v>-0.11115101454480159</c:v>
                </c:pt>
                <c:pt idx="3">
                  <c:v>-4.6263700596709256E-2</c:v>
                </c:pt>
                <c:pt idx="4">
                  <c:v>-7.9358781049032601E-5</c:v>
                </c:pt>
                <c:pt idx="5">
                  <c:v>0.60504101771489727</c:v>
                </c:pt>
                <c:pt idx="6">
                  <c:v>0.61975960128994445</c:v>
                </c:pt>
                <c:pt idx="7">
                  <c:v>0.72325462251408879</c:v>
                </c:pt>
                <c:pt idx="8">
                  <c:v>0.80439330543933085</c:v>
                </c:pt>
                <c:pt idx="9">
                  <c:v>1.5272678903963821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764-4B68-A8B7-B085C1FC3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1018952"/>
        <c:axId val="291016208"/>
        <c:axId val="0"/>
      </c:bar3DChart>
      <c:catAx>
        <c:axId val="29101895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91016208"/>
        <c:crosses val="autoZero"/>
        <c:auto val="1"/>
        <c:lblAlgn val="ctr"/>
        <c:lblOffset val="100"/>
        <c:noMultiLvlLbl val="0"/>
      </c:catAx>
      <c:valAx>
        <c:axId val="291016208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291018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 שינוי חודשי 2017/16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topten!$AB$111:$AB$120</c:f>
              <c:strCache>
                <c:ptCount val="10"/>
                <c:pt idx="0">
                  <c:v>BELGIUM</c:v>
                </c:pt>
                <c:pt idx="1">
                  <c:v>KOREA</c:v>
                </c:pt>
                <c:pt idx="2">
                  <c:v>TURKEY</c:v>
                </c:pt>
                <c:pt idx="3">
                  <c:v>FRANCE</c:v>
                </c:pt>
                <c:pt idx="4">
                  <c:v>UNITED KINGDOM</c:v>
                </c:pt>
                <c:pt idx="5">
                  <c:v>POLAND</c:v>
                </c:pt>
                <c:pt idx="6">
                  <c:v>INDIA</c:v>
                </c:pt>
                <c:pt idx="7">
                  <c:v>GREECE</c:v>
                </c:pt>
                <c:pt idx="8">
                  <c:v>INDONESIA</c:v>
                </c:pt>
                <c:pt idx="9">
                  <c:v>BRAZIL</c:v>
                </c:pt>
              </c:strCache>
            </c:strRef>
          </c:cat>
          <c:val>
            <c:numRef>
              <c:f>topten!$AB$101:$AB$110</c:f>
              <c:numCache>
                <c:formatCode>0.00%</c:formatCode>
                <c:ptCount val="10"/>
                <c:pt idx="0">
                  <c:v>-5.374716124148371E-2</c:v>
                </c:pt>
                <c:pt idx="1">
                  <c:v>4.5150501672240884E-2</c:v>
                </c:pt>
                <c:pt idx="2">
                  <c:v>4.9317943336831149E-2</c:v>
                </c:pt>
                <c:pt idx="3">
                  <c:v>5.2328095718610301E-2</c:v>
                </c:pt>
                <c:pt idx="4">
                  <c:v>6.9137562366357708E-2</c:v>
                </c:pt>
                <c:pt idx="5">
                  <c:v>0.73852573018080681</c:v>
                </c:pt>
                <c:pt idx="6">
                  <c:v>0.74825174825174834</c:v>
                </c:pt>
                <c:pt idx="7">
                  <c:v>0.87125748502993994</c:v>
                </c:pt>
                <c:pt idx="8">
                  <c:v>0.98717948717948723</c:v>
                </c:pt>
                <c:pt idx="9">
                  <c:v>1.0446800454373344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01C-45B9-B3E4-C43FF2BCA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1019736"/>
        <c:axId val="291020912"/>
        <c:axId val="0"/>
      </c:bar3DChart>
      <c:catAx>
        <c:axId val="29101973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91020912"/>
        <c:crosses val="autoZero"/>
        <c:auto val="1"/>
        <c:lblAlgn val="ctr"/>
        <c:lblOffset val="100"/>
        <c:noMultiLvlLbl val="0"/>
      </c:catAx>
      <c:valAx>
        <c:axId val="291020912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291019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 שינוי חודשי 2017/15 מדינות בולטות</a:t>
            </a:r>
            <a:endParaRPr lang="en-US"/>
          </a:p>
        </c:rich>
      </c:tx>
      <c:layout>
        <c:manualLayout>
          <c:xMode val="edge"/>
          <c:yMode val="edge"/>
          <c:x val="0.13550630422148441"/>
          <c:y val="3.3452807646356032E-2"/>
        </c:manualLayout>
      </c:layout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topten!$AA$111:$AA$120</c:f>
              <c:strCache>
                <c:ptCount val="10"/>
                <c:pt idx="0">
                  <c:v>RUSSIA</c:v>
                </c:pt>
                <c:pt idx="1">
                  <c:v>BELGIUM</c:v>
                </c:pt>
                <c:pt idx="2">
                  <c:v>JORDAN</c:v>
                </c:pt>
                <c:pt idx="3">
                  <c:v>NORDIC COUNTRIES</c:v>
                </c:pt>
                <c:pt idx="4">
                  <c:v>      SWEDEN</c:v>
                </c:pt>
                <c:pt idx="5">
                  <c:v>CZECH REP.</c:v>
                </c:pt>
                <c:pt idx="6">
                  <c:v>INDONESIA</c:v>
                </c:pt>
                <c:pt idx="7">
                  <c:v>ROMANIA</c:v>
                </c:pt>
                <c:pt idx="8">
                  <c:v>BELARUS</c:v>
                </c:pt>
                <c:pt idx="9">
                  <c:v>CHINA</c:v>
                </c:pt>
              </c:strCache>
            </c:strRef>
          </c:cat>
          <c:val>
            <c:numRef>
              <c:f>topten!$AA$101:$AA$110</c:f>
              <c:numCache>
                <c:formatCode>0.00%</c:formatCode>
                <c:ptCount val="10"/>
                <c:pt idx="0">
                  <c:v>-8.7497531108038706E-2</c:v>
                </c:pt>
                <c:pt idx="1">
                  <c:v>-2.6479750778816258E-2</c:v>
                </c:pt>
                <c:pt idx="2">
                  <c:v>3.7037037037037202E-2</c:v>
                </c:pt>
                <c:pt idx="3">
                  <c:v>5.9201815774541533E-2</c:v>
                </c:pt>
                <c:pt idx="4">
                  <c:v>9.6804959465903506E-2</c:v>
                </c:pt>
                <c:pt idx="5">
                  <c:v>0.73292558613659531</c:v>
                </c:pt>
                <c:pt idx="6">
                  <c:v>0.77345537757437066</c:v>
                </c:pt>
                <c:pt idx="7">
                  <c:v>0.95895522388059695</c:v>
                </c:pt>
                <c:pt idx="8">
                  <c:v>0.98255352894528158</c:v>
                </c:pt>
                <c:pt idx="9">
                  <c:v>1.218658112804063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839-4F37-B2B5-7C18DC38A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1164136"/>
        <c:axId val="291168448"/>
        <c:axId val="0"/>
      </c:bar3DChart>
      <c:catAx>
        <c:axId val="29116413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91168448"/>
        <c:crosses val="autoZero"/>
        <c:auto val="1"/>
        <c:lblAlgn val="ctr"/>
        <c:lblOffset val="100"/>
        <c:noMultiLvlLbl val="0"/>
      </c:catAx>
      <c:valAx>
        <c:axId val="291168448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291164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</a:t>
            </a:r>
            <a:r>
              <a:rPr lang="he-IL" baseline="0"/>
              <a:t> שינוי מצטבר 2017/16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topten!$V$111:$V$120</c:f>
              <c:strCache>
                <c:ptCount val="10"/>
                <c:pt idx="0">
                  <c:v>JORDAN</c:v>
                </c:pt>
                <c:pt idx="1">
                  <c:v>      DENMARK</c:v>
                </c:pt>
                <c:pt idx="2">
                  <c:v>BELARUS</c:v>
                </c:pt>
                <c:pt idx="3">
                  <c:v>FRANCE</c:v>
                </c:pt>
                <c:pt idx="4">
                  <c:v>BELGIUM</c:v>
                </c:pt>
                <c:pt idx="5">
                  <c:v>ROMANIA</c:v>
                </c:pt>
                <c:pt idx="6">
                  <c:v>CZECH REP.</c:v>
                </c:pt>
                <c:pt idx="7">
                  <c:v>GREECE</c:v>
                </c:pt>
                <c:pt idx="8">
                  <c:v>CHINA</c:v>
                </c:pt>
                <c:pt idx="9">
                  <c:v>BRAZIL</c:v>
                </c:pt>
              </c:strCache>
            </c:strRef>
          </c:cat>
          <c:val>
            <c:numRef>
              <c:f>topten!$V$101:$V$110</c:f>
              <c:numCache>
                <c:formatCode>0.00%</c:formatCode>
                <c:ptCount val="10"/>
                <c:pt idx="0">
                  <c:v>-5.8226931087566713E-2</c:v>
                </c:pt>
                <c:pt idx="1">
                  <c:v>4.8752834467120199E-2</c:v>
                </c:pt>
                <c:pt idx="2">
                  <c:v>5.9730250481695668E-2</c:v>
                </c:pt>
                <c:pt idx="3">
                  <c:v>6.8827521065844666E-2</c:v>
                </c:pt>
                <c:pt idx="4">
                  <c:v>7.4761455384292796E-2</c:v>
                </c:pt>
                <c:pt idx="5">
                  <c:v>0.54020562135960271</c:v>
                </c:pt>
                <c:pt idx="6">
                  <c:v>0.56893004115226309</c:v>
                </c:pt>
                <c:pt idx="7">
                  <c:v>0.60748056314351762</c:v>
                </c:pt>
                <c:pt idx="8">
                  <c:v>0.66357643180881754</c:v>
                </c:pt>
                <c:pt idx="9">
                  <c:v>0.71701297945404785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960-40B7-8AE6-FDA213197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1162960"/>
        <c:axId val="291164528"/>
        <c:axId val="0"/>
      </c:bar3DChart>
      <c:catAx>
        <c:axId val="29116296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91164528"/>
        <c:crosses val="autoZero"/>
        <c:auto val="1"/>
        <c:lblAlgn val="ctr"/>
        <c:lblOffset val="100"/>
        <c:noMultiLvlLbl val="0"/>
      </c:catAx>
      <c:valAx>
        <c:axId val="291164528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291162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 שינוי</a:t>
            </a:r>
            <a:r>
              <a:rPr lang="he-IL" baseline="0"/>
              <a:t> מצטבר 2017/15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topten!$U$111:$U$120</c:f>
              <c:strCache>
                <c:ptCount val="10"/>
                <c:pt idx="0">
                  <c:v>JORDAN</c:v>
                </c:pt>
                <c:pt idx="1">
                  <c:v>FRANCE</c:v>
                </c:pt>
                <c:pt idx="2">
                  <c:v>      DENMARK</c:v>
                </c:pt>
                <c:pt idx="3">
                  <c:v>RUSSIA</c:v>
                </c:pt>
                <c:pt idx="4">
                  <c:v>ITALY</c:v>
                </c:pt>
                <c:pt idx="5">
                  <c:v>CZECH REP.</c:v>
                </c:pt>
                <c:pt idx="6">
                  <c:v>GREECE</c:v>
                </c:pt>
                <c:pt idx="7">
                  <c:v>ROMANIA</c:v>
                </c:pt>
                <c:pt idx="8">
                  <c:v>KOREA</c:v>
                </c:pt>
                <c:pt idx="9">
                  <c:v>CHINA</c:v>
                </c:pt>
              </c:strCache>
            </c:strRef>
          </c:cat>
          <c:val>
            <c:numRef>
              <c:f>topten!$U$101:$U$110</c:f>
              <c:numCache>
                <c:formatCode>0.00%</c:formatCode>
                <c:ptCount val="10"/>
                <c:pt idx="0">
                  <c:v>-0.34603533924416774</c:v>
                </c:pt>
                <c:pt idx="1">
                  <c:v>-0.19178629325940366</c:v>
                </c:pt>
                <c:pt idx="2">
                  <c:v>-0.14365067119271724</c:v>
                </c:pt>
                <c:pt idx="3">
                  <c:v>-0.10067374774048021</c:v>
                </c:pt>
                <c:pt idx="4">
                  <c:v>-9.5913261050875831E-2</c:v>
                </c:pt>
                <c:pt idx="5">
                  <c:v>0.37775268210050794</c:v>
                </c:pt>
                <c:pt idx="6">
                  <c:v>0.38423957296661526</c:v>
                </c:pt>
                <c:pt idx="7">
                  <c:v>0.49639194834789224</c:v>
                </c:pt>
                <c:pt idx="8">
                  <c:v>0.5046513079852657</c:v>
                </c:pt>
                <c:pt idx="9">
                  <c:v>1.302948201490143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7E0-4EC1-864E-3E35AF08B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1166096"/>
        <c:axId val="291163744"/>
        <c:axId val="0"/>
      </c:bar3DChart>
      <c:catAx>
        <c:axId val="29116609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91163744"/>
        <c:crosses val="autoZero"/>
        <c:auto val="1"/>
        <c:lblAlgn val="ctr"/>
        <c:lblOffset val="100"/>
        <c:noMultiLvlLbl val="0"/>
      </c:catAx>
      <c:valAx>
        <c:axId val="291163744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291166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 שינוי חודשי 2017/16 מדינות</a:t>
            </a:r>
            <a:r>
              <a:rPr lang="he-IL" baseline="0"/>
              <a:t>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topten!$X$111:$X$120</c:f>
              <c:strCache>
                <c:ptCount val="10"/>
                <c:pt idx="0">
                  <c:v>JORDAN</c:v>
                </c:pt>
                <c:pt idx="1">
                  <c:v>FRANCE</c:v>
                </c:pt>
                <c:pt idx="2">
                  <c:v>SWITZERLAND</c:v>
                </c:pt>
                <c:pt idx="3">
                  <c:v>UKRAINE</c:v>
                </c:pt>
                <c:pt idx="4">
                  <c:v>BELGIUM</c:v>
                </c:pt>
                <c:pt idx="5">
                  <c:v>MEXICO</c:v>
                </c:pt>
                <c:pt idx="6">
                  <c:v>SPAIN</c:v>
                </c:pt>
                <c:pt idx="7">
                  <c:v>BRAZIL</c:v>
                </c:pt>
                <c:pt idx="8">
                  <c:v>SOUTH AFRICA</c:v>
                </c:pt>
                <c:pt idx="9">
                  <c:v>POLAND</c:v>
                </c:pt>
              </c:strCache>
            </c:strRef>
          </c:cat>
          <c:val>
            <c:numRef>
              <c:f>topten!$X$101:$X$110</c:f>
              <c:numCache>
                <c:formatCode>0.00%</c:formatCode>
                <c:ptCount val="10"/>
                <c:pt idx="0">
                  <c:v>-0.23439340400471143</c:v>
                </c:pt>
                <c:pt idx="1">
                  <c:v>-1.1505943678087771E-2</c:v>
                </c:pt>
                <c:pt idx="2">
                  <c:v>-5.8479532163743242E-3</c:v>
                </c:pt>
                <c:pt idx="3">
                  <c:v>1.7639077340569909E-2</c:v>
                </c:pt>
                <c:pt idx="4">
                  <c:v>2.1102791014295352E-2</c:v>
                </c:pt>
                <c:pt idx="5">
                  <c:v>0.44873699851411586</c:v>
                </c:pt>
                <c:pt idx="6">
                  <c:v>0.45505749823984987</c:v>
                </c:pt>
                <c:pt idx="7">
                  <c:v>0.50303805564438786</c:v>
                </c:pt>
                <c:pt idx="8">
                  <c:v>0.55261644623346751</c:v>
                </c:pt>
                <c:pt idx="9">
                  <c:v>1.254283137962128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0A9-48BA-9FC1-9A2E69ADB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1165312"/>
        <c:axId val="291165704"/>
        <c:axId val="0"/>
      </c:bar3DChart>
      <c:catAx>
        <c:axId val="29116531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91165704"/>
        <c:crosses val="autoZero"/>
        <c:auto val="1"/>
        <c:lblAlgn val="ctr"/>
        <c:lblOffset val="100"/>
        <c:noMultiLvlLbl val="0"/>
      </c:catAx>
      <c:valAx>
        <c:axId val="291165704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291165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 שינוי חודשי 2017/15 מדינות</a:t>
            </a:r>
            <a:r>
              <a:rPr lang="he-IL" baseline="0"/>
              <a:t>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topten!$W$111:$W$120</c:f>
              <c:strCache>
                <c:ptCount val="10"/>
                <c:pt idx="0">
                  <c:v>JORDAN</c:v>
                </c:pt>
                <c:pt idx="1">
                  <c:v>FRANCE</c:v>
                </c:pt>
                <c:pt idx="2">
                  <c:v>      DENMARK</c:v>
                </c:pt>
                <c:pt idx="3">
                  <c:v>BELGIUM</c:v>
                </c:pt>
                <c:pt idx="4">
                  <c:v>ITALY</c:v>
                </c:pt>
                <c:pt idx="5">
                  <c:v>AUSTRALIA</c:v>
                </c:pt>
                <c:pt idx="6">
                  <c:v>ARGENTINA</c:v>
                </c:pt>
                <c:pt idx="7">
                  <c:v>BELARUS</c:v>
                </c:pt>
                <c:pt idx="8">
                  <c:v>POLAND</c:v>
                </c:pt>
                <c:pt idx="9">
                  <c:v>CHINA</c:v>
                </c:pt>
              </c:strCache>
            </c:strRef>
          </c:cat>
          <c:val>
            <c:numRef>
              <c:f>topten!$W$101:$W$110</c:f>
              <c:numCache>
                <c:formatCode>0.00%</c:formatCode>
                <c:ptCount val="10"/>
                <c:pt idx="0">
                  <c:v>-0.2896174863387978</c:v>
                </c:pt>
                <c:pt idx="1">
                  <c:v>-0.18181579016600458</c:v>
                </c:pt>
                <c:pt idx="2">
                  <c:v>-0.15929203539823</c:v>
                </c:pt>
                <c:pt idx="3">
                  <c:v>-5.6900345803206576E-2</c:v>
                </c:pt>
                <c:pt idx="4">
                  <c:v>-1.403109594235874E-2</c:v>
                </c:pt>
                <c:pt idx="5">
                  <c:v>0.43721633888048395</c:v>
                </c:pt>
                <c:pt idx="6">
                  <c:v>0.47244425746739593</c:v>
                </c:pt>
                <c:pt idx="7">
                  <c:v>0.6272189349112427</c:v>
                </c:pt>
                <c:pt idx="8">
                  <c:v>0.67954316425932149</c:v>
                </c:pt>
                <c:pt idx="9">
                  <c:v>1.5107367030062768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38C-40DB-A00E-A6C83B6BD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1161392"/>
        <c:axId val="291166880"/>
        <c:axId val="0"/>
      </c:bar3DChart>
      <c:catAx>
        <c:axId val="29116139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91166880"/>
        <c:crosses val="autoZero"/>
        <c:auto val="1"/>
        <c:lblAlgn val="ctr"/>
        <c:lblOffset val="100"/>
        <c:noMultiLvlLbl val="0"/>
      </c:catAx>
      <c:valAx>
        <c:axId val="291166880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291161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</a:t>
            </a:r>
            <a:r>
              <a:rPr lang="he-IL" baseline="0"/>
              <a:t> שינוי מצטבר 2017/16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topten!$R$111:$R$120</c:f>
              <c:strCache>
                <c:ptCount val="10"/>
                <c:pt idx="0">
                  <c:v>FRANCE</c:v>
                </c:pt>
                <c:pt idx="1">
                  <c:v>BELARUS</c:v>
                </c:pt>
                <c:pt idx="2">
                  <c:v>BELGIUM</c:v>
                </c:pt>
                <c:pt idx="3">
                  <c:v>UNITED KINGDOM</c:v>
                </c:pt>
                <c:pt idx="4">
                  <c:v>NORDIC COUNTRIES</c:v>
                </c:pt>
                <c:pt idx="5">
                  <c:v>POLAND</c:v>
                </c:pt>
                <c:pt idx="6">
                  <c:v>ROMANIA</c:v>
                </c:pt>
                <c:pt idx="7">
                  <c:v>GREECE</c:v>
                </c:pt>
                <c:pt idx="8">
                  <c:v>CHINA</c:v>
                </c:pt>
                <c:pt idx="9">
                  <c:v>BRAZIL</c:v>
                </c:pt>
              </c:strCache>
            </c:strRef>
          </c:cat>
          <c:val>
            <c:numRef>
              <c:f>topten!$R$101:$R$110</c:f>
              <c:numCache>
                <c:formatCode>0.00%</c:formatCode>
                <c:ptCount val="10"/>
                <c:pt idx="0">
                  <c:v>5.5506643188730553E-2</c:v>
                </c:pt>
                <c:pt idx="1">
                  <c:v>8.8929219600726084E-2</c:v>
                </c:pt>
                <c:pt idx="2">
                  <c:v>9.0239758353785282E-2</c:v>
                </c:pt>
                <c:pt idx="3">
                  <c:v>0.10199316293876048</c:v>
                </c:pt>
                <c:pt idx="4">
                  <c:v>0.10661001877284848</c:v>
                </c:pt>
                <c:pt idx="5">
                  <c:v>0.47635306019221058</c:v>
                </c:pt>
                <c:pt idx="6">
                  <c:v>0.49671951886276644</c:v>
                </c:pt>
                <c:pt idx="7">
                  <c:v>0.55313351498637586</c:v>
                </c:pt>
                <c:pt idx="8">
                  <c:v>0.59664994625582257</c:v>
                </c:pt>
                <c:pt idx="9">
                  <c:v>0.69518461619960759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2EF-4B3E-AF07-93028738C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1167272"/>
        <c:axId val="291161784"/>
        <c:axId val="0"/>
      </c:bar3DChart>
      <c:catAx>
        <c:axId val="29116727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291161784"/>
        <c:crosses val="autoZero"/>
        <c:auto val="1"/>
        <c:lblAlgn val="ctr"/>
        <c:lblOffset val="100"/>
        <c:noMultiLvlLbl val="0"/>
      </c:catAx>
      <c:valAx>
        <c:axId val="291161784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291167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topten!$AT$111:$AT$120</c:f>
              <c:strCache>
                <c:ptCount val="10"/>
                <c:pt idx="0">
                  <c:v>NORDIC COUNTRIES</c:v>
                </c:pt>
                <c:pt idx="1">
                  <c:v>BELGIUM</c:v>
                </c:pt>
                <c:pt idx="2">
                  <c:v>INDIA</c:v>
                </c:pt>
                <c:pt idx="3">
                  <c:v>FRANCE</c:v>
                </c:pt>
                <c:pt idx="4">
                  <c:v>OCEANIA</c:v>
                </c:pt>
                <c:pt idx="5">
                  <c:v>GREECE</c:v>
                </c:pt>
                <c:pt idx="6">
                  <c:v>BRAZIL</c:v>
                </c:pt>
                <c:pt idx="7">
                  <c:v>POLAND</c:v>
                </c:pt>
                <c:pt idx="8">
                  <c:v>INDONESIA</c:v>
                </c:pt>
                <c:pt idx="9">
                  <c:v>CHINA</c:v>
                </c:pt>
              </c:strCache>
            </c:strRef>
          </c:cat>
          <c:val>
            <c:numRef>
              <c:f>topten!$AT$101:$AT$110</c:f>
              <c:numCache>
                <c:formatCode>0.00%</c:formatCode>
                <c:ptCount val="10"/>
                <c:pt idx="0">
                  <c:v>5.0304035378662126E-2</c:v>
                </c:pt>
                <c:pt idx="1">
                  <c:v>6.8883610451306421E-2</c:v>
                </c:pt>
                <c:pt idx="2">
                  <c:v>7.2066706372841072E-2</c:v>
                </c:pt>
                <c:pt idx="3">
                  <c:v>8.2878581173260635E-2</c:v>
                </c:pt>
                <c:pt idx="4">
                  <c:v>0.11209964412811368</c:v>
                </c:pt>
                <c:pt idx="5">
                  <c:v>0.74471992653810837</c:v>
                </c:pt>
                <c:pt idx="6">
                  <c:v>0.74563591022443898</c:v>
                </c:pt>
                <c:pt idx="7">
                  <c:v>0.99768384481760286</c:v>
                </c:pt>
                <c:pt idx="8">
                  <c:v>1.3210831721470018</c:v>
                </c:pt>
                <c:pt idx="9">
                  <c:v>2.0065359477124178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79C-4051-9720-F4F3E5F93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2139368"/>
        <c:axId val="202139760"/>
        <c:axId val="0"/>
      </c:bar3DChart>
      <c:catAx>
        <c:axId val="20213936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02139760"/>
        <c:crosses val="autoZero"/>
        <c:auto val="1"/>
        <c:lblAlgn val="ctr"/>
        <c:lblOffset val="100"/>
        <c:noMultiLvlLbl val="0"/>
      </c:catAx>
      <c:valAx>
        <c:axId val="202139760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202139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 שינוי מצטבר 2017/15</a:t>
            </a:r>
            <a:r>
              <a:rPr lang="he-IL" baseline="0"/>
              <a:t> </a:t>
            </a:r>
            <a:r>
              <a:rPr lang="he-IL"/>
              <a:t>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topten!$Q$111:$Q$120</c:f>
              <c:strCache>
                <c:ptCount val="10"/>
                <c:pt idx="0">
                  <c:v>RUSSIA</c:v>
                </c:pt>
                <c:pt idx="1">
                  <c:v>FRANCE</c:v>
                </c:pt>
                <c:pt idx="2">
                  <c:v>NORDIC COUNTRIES</c:v>
                </c:pt>
                <c:pt idx="3">
                  <c:v>BELGIUM</c:v>
                </c:pt>
                <c:pt idx="4">
                  <c:v>ITALY</c:v>
                </c:pt>
                <c:pt idx="5">
                  <c:v>BELARUS</c:v>
                </c:pt>
                <c:pt idx="6">
                  <c:v>GREECE</c:v>
                </c:pt>
                <c:pt idx="7">
                  <c:v>KOREA</c:v>
                </c:pt>
                <c:pt idx="8">
                  <c:v>ROMANIA</c:v>
                </c:pt>
                <c:pt idx="9">
                  <c:v>CHINA</c:v>
                </c:pt>
              </c:strCache>
            </c:strRef>
          </c:cat>
          <c:val>
            <c:numRef>
              <c:f>topten!$Q$101:$Q$110</c:f>
              <c:numCache>
                <c:formatCode>0.00%</c:formatCode>
                <c:ptCount val="10"/>
                <c:pt idx="0">
                  <c:v>-9.0480387616586055E-3</c:v>
                </c:pt>
                <c:pt idx="1">
                  <c:v>-8.5285341728731368E-3</c:v>
                </c:pt>
                <c:pt idx="2">
                  <c:v>1.6564556387565377E-2</c:v>
                </c:pt>
                <c:pt idx="3">
                  <c:v>5.4168758271345929E-2</c:v>
                </c:pt>
                <c:pt idx="4">
                  <c:v>9.0909090909090606E-2</c:v>
                </c:pt>
                <c:pt idx="5">
                  <c:v>0.49284677586564385</c:v>
                </c:pt>
                <c:pt idx="6">
                  <c:v>0.54709128743327606</c:v>
                </c:pt>
                <c:pt idx="7">
                  <c:v>0.63576200287194884</c:v>
                </c:pt>
                <c:pt idx="8">
                  <c:v>0.66350170907709827</c:v>
                </c:pt>
                <c:pt idx="9">
                  <c:v>1.5417988663505757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EC2-438E-AB75-5E1B80A04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1162568"/>
        <c:axId val="317306496"/>
        <c:axId val="0"/>
      </c:bar3DChart>
      <c:catAx>
        <c:axId val="29116256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317306496"/>
        <c:crosses val="autoZero"/>
        <c:auto val="1"/>
        <c:lblAlgn val="ctr"/>
        <c:lblOffset val="100"/>
        <c:noMultiLvlLbl val="0"/>
      </c:catAx>
      <c:valAx>
        <c:axId val="317306496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291162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 שינוי</a:t>
            </a:r>
            <a:r>
              <a:rPr lang="en-US"/>
              <a:t> </a:t>
            </a:r>
            <a:r>
              <a:rPr lang="he-IL"/>
              <a:t> חודשי 2017/16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topten!$T$111:$T$120</c:f>
              <c:strCache>
                <c:ptCount val="10"/>
                <c:pt idx="0">
                  <c:v>UKRAINE</c:v>
                </c:pt>
                <c:pt idx="1">
                  <c:v>FRANCE</c:v>
                </c:pt>
                <c:pt idx="2">
                  <c:v>NETHERLANDS</c:v>
                </c:pt>
                <c:pt idx="3">
                  <c:v>TURKEY</c:v>
                </c:pt>
                <c:pt idx="4">
                  <c:v>NORDIC COUNTRIES</c:v>
                </c:pt>
                <c:pt idx="5">
                  <c:v>AUSTRALIA</c:v>
                </c:pt>
                <c:pt idx="6">
                  <c:v>KOREA</c:v>
                </c:pt>
                <c:pt idx="7">
                  <c:v>INDIA</c:v>
                </c:pt>
                <c:pt idx="8">
                  <c:v>POLAND</c:v>
                </c:pt>
                <c:pt idx="9">
                  <c:v>PORTUGAL</c:v>
                </c:pt>
              </c:strCache>
            </c:strRef>
          </c:cat>
          <c:val>
            <c:numRef>
              <c:f>topten!$T$101:$T$110</c:f>
              <c:numCache>
                <c:formatCode>0.00%</c:formatCode>
                <c:ptCount val="10"/>
                <c:pt idx="0">
                  <c:v>-8.3737329219921719E-3</c:v>
                </c:pt>
                <c:pt idx="1">
                  <c:v>5.1308363263213863E-4</c:v>
                </c:pt>
                <c:pt idx="2">
                  <c:v>9.9633455514828384E-2</c:v>
                </c:pt>
                <c:pt idx="3">
                  <c:v>0.13226968605249612</c:v>
                </c:pt>
                <c:pt idx="4">
                  <c:v>0.13827993254637461</c:v>
                </c:pt>
                <c:pt idx="5">
                  <c:v>0.48195876288659778</c:v>
                </c:pt>
                <c:pt idx="6">
                  <c:v>0.51079136690647498</c:v>
                </c:pt>
                <c:pt idx="7">
                  <c:v>0.54373927958833623</c:v>
                </c:pt>
                <c:pt idx="8">
                  <c:v>0.60403299725022919</c:v>
                </c:pt>
                <c:pt idx="9">
                  <c:v>0.671891327063741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4FC-4116-9FD9-D46209450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7304928"/>
        <c:axId val="317305320"/>
        <c:axId val="0"/>
      </c:bar3DChart>
      <c:catAx>
        <c:axId val="31730492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317305320"/>
        <c:crosses val="autoZero"/>
        <c:auto val="1"/>
        <c:lblAlgn val="ctr"/>
        <c:lblOffset val="100"/>
        <c:noMultiLvlLbl val="0"/>
      </c:catAx>
      <c:valAx>
        <c:axId val="317305320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317304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 שינוי חודשי 2017/15 מדינות</a:t>
            </a:r>
            <a:r>
              <a:rPr lang="he-IL" baseline="0"/>
              <a:t>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topten!$S$111:$S$120</c:f>
              <c:strCache>
                <c:ptCount val="10"/>
                <c:pt idx="0">
                  <c:v>NORDIC COUNTRIES</c:v>
                </c:pt>
                <c:pt idx="1">
                  <c:v>FRANCE</c:v>
                </c:pt>
                <c:pt idx="2">
                  <c:v>RUSSIA</c:v>
                </c:pt>
                <c:pt idx="3">
                  <c:v>ITALY</c:v>
                </c:pt>
                <c:pt idx="4">
                  <c:v>GERMANY</c:v>
                </c:pt>
                <c:pt idx="5">
                  <c:v>POLAND</c:v>
                </c:pt>
                <c:pt idx="6">
                  <c:v>PORTUGAL</c:v>
                </c:pt>
                <c:pt idx="7">
                  <c:v>BELARUS</c:v>
                </c:pt>
                <c:pt idx="8">
                  <c:v>KOREA</c:v>
                </c:pt>
                <c:pt idx="9">
                  <c:v>CHINA</c:v>
                </c:pt>
              </c:strCache>
            </c:strRef>
          </c:cat>
          <c:val>
            <c:numRef>
              <c:f>topten!$S$101:$S$110</c:f>
              <c:numCache>
                <c:formatCode>0.00%</c:formatCode>
                <c:ptCount val="10"/>
                <c:pt idx="0">
                  <c:v>-0.14421553090332795</c:v>
                </c:pt>
                <c:pt idx="1">
                  <c:v>-8.9125560538116599E-2</c:v>
                </c:pt>
                <c:pt idx="2">
                  <c:v>-1.1124845488257096E-2</c:v>
                </c:pt>
                <c:pt idx="3">
                  <c:v>6.4701653486698429E-3</c:v>
                </c:pt>
                <c:pt idx="4">
                  <c:v>1.1522561351042349E-2</c:v>
                </c:pt>
                <c:pt idx="5">
                  <c:v>0.46259924780610118</c:v>
                </c:pt>
                <c:pt idx="6">
                  <c:v>0.59203980099502518</c:v>
                </c:pt>
                <c:pt idx="7">
                  <c:v>0.64285714285714279</c:v>
                </c:pt>
                <c:pt idx="8">
                  <c:v>0.85676392572944304</c:v>
                </c:pt>
                <c:pt idx="9">
                  <c:v>1.5848765432098766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1B8-47B0-A139-7164B464A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7304144"/>
        <c:axId val="317305712"/>
        <c:axId val="0"/>
      </c:bar3DChart>
      <c:catAx>
        <c:axId val="317304144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317305712"/>
        <c:crosses val="autoZero"/>
        <c:auto val="1"/>
        <c:lblAlgn val="ctr"/>
        <c:lblOffset val="100"/>
        <c:noMultiLvlLbl val="0"/>
      </c:catAx>
      <c:valAx>
        <c:axId val="317305712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317304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</a:t>
            </a:r>
            <a:r>
              <a:rPr lang="he-IL" baseline="0"/>
              <a:t> שינוי מצטבר 2017/16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topten!$N$111:$N$120</c:f>
              <c:strCache>
                <c:ptCount val="10"/>
                <c:pt idx="0">
                  <c:v>FRANCE</c:v>
                </c:pt>
                <c:pt idx="1">
                  <c:v>BELGIUM</c:v>
                </c:pt>
                <c:pt idx="2">
                  <c:v>UNITED KINGDOM</c:v>
                </c:pt>
                <c:pt idx="3">
                  <c:v>NORDIC COUNTRIES</c:v>
                </c:pt>
                <c:pt idx="4">
                  <c:v>BELARUS</c:v>
                </c:pt>
                <c:pt idx="5">
                  <c:v>POLAND</c:v>
                </c:pt>
                <c:pt idx="6">
                  <c:v>CHINA</c:v>
                </c:pt>
                <c:pt idx="7">
                  <c:v>GREECE</c:v>
                </c:pt>
                <c:pt idx="8">
                  <c:v>BRAZIL</c:v>
                </c:pt>
                <c:pt idx="9">
                  <c:v>INDONESIA</c:v>
                </c:pt>
              </c:strCache>
            </c:strRef>
          </c:cat>
          <c:val>
            <c:numRef>
              <c:f>topten!$N$101:$N$110</c:f>
              <c:numCache>
                <c:formatCode>0.00%</c:formatCode>
                <c:ptCount val="10"/>
                <c:pt idx="0">
                  <c:v>4.624582380868647E-2</c:v>
                </c:pt>
                <c:pt idx="1">
                  <c:v>5.5603289554437385E-2</c:v>
                </c:pt>
                <c:pt idx="2">
                  <c:v>7.7811666592995321E-2</c:v>
                </c:pt>
                <c:pt idx="3">
                  <c:v>9.9521946979574061E-2</c:v>
                </c:pt>
                <c:pt idx="4">
                  <c:v>0.11427510214188463</c:v>
                </c:pt>
                <c:pt idx="5">
                  <c:v>0.50568416416636852</c:v>
                </c:pt>
                <c:pt idx="6">
                  <c:v>0.50608044901777394</c:v>
                </c:pt>
                <c:pt idx="7">
                  <c:v>0.55476485148514842</c:v>
                </c:pt>
                <c:pt idx="8">
                  <c:v>0.66584124983116455</c:v>
                </c:pt>
                <c:pt idx="9">
                  <c:v>0.71623123957754298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CAA-4448-8347-8DC62508F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7308064"/>
        <c:axId val="317306888"/>
        <c:axId val="0"/>
      </c:bar3DChart>
      <c:catAx>
        <c:axId val="31730806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317306888"/>
        <c:crosses val="autoZero"/>
        <c:auto val="1"/>
        <c:lblAlgn val="ctr"/>
        <c:lblOffset val="100"/>
        <c:noMultiLvlLbl val="0"/>
      </c:catAx>
      <c:valAx>
        <c:axId val="317306888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317308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 שינוי</a:t>
            </a:r>
            <a:r>
              <a:rPr lang="he-IL" baseline="0"/>
              <a:t> מצטבר 2017/15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topten!$M$111:$M$120</c:f>
              <c:strCache>
                <c:ptCount val="10"/>
                <c:pt idx="0">
                  <c:v>FRANCE</c:v>
                </c:pt>
                <c:pt idx="1">
                  <c:v>NORDIC COUNTRIES</c:v>
                </c:pt>
                <c:pt idx="2">
                  <c:v>RUSSIA</c:v>
                </c:pt>
                <c:pt idx="3">
                  <c:v>      SWEDEN</c:v>
                </c:pt>
                <c:pt idx="4">
                  <c:v>BELGIUM</c:v>
                </c:pt>
                <c:pt idx="5">
                  <c:v>GREECE</c:v>
                </c:pt>
                <c:pt idx="6">
                  <c:v>JAPAN</c:v>
                </c:pt>
                <c:pt idx="7">
                  <c:v>ROMANIA</c:v>
                </c:pt>
                <c:pt idx="8">
                  <c:v>PHILIPPINES</c:v>
                </c:pt>
                <c:pt idx="9">
                  <c:v>CHINA</c:v>
                </c:pt>
              </c:strCache>
            </c:strRef>
          </c:cat>
          <c:val>
            <c:numRef>
              <c:f>topten!$M$101:$M$110</c:f>
              <c:numCache>
                <c:formatCode>0.00%</c:formatCode>
                <c:ptCount val="10"/>
                <c:pt idx="0">
                  <c:v>-8.6420456787579258E-3</c:v>
                </c:pt>
                <c:pt idx="1">
                  <c:v>1.4051336856062413E-3</c:v>
                </c:pt>
                <c:pt idx="2">
                  <c:v>1.0535464074777012E-2</c:v>
                </c:pt>
                <c:pt idx="3">
                  <c:v>1.5314804310833763E-2</c:v>
                </c:pt>
                <c:pt idx="4">
                  <c:v>3.960994479590596E-2</c:v>
                </c:pt>
                <c:pt idx="5">
                  <c:v>0.63494387506100547</c:v>
                </c:pt>
                <c:pt idx="6">
                  <c:v>0.64044641656581947</c:v>
                </c:pt>
                <c:pt idx="7">
                  <c:v>0.66781802032961601</c:v>
                </c:pt>
                <c:pt idx="8">
                  <c:v>0.67745344076079772</c:v>
                </c:pt>
                <c:pt idx="9">
                  <c:v>1.4583155194527575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A34-4D90-8E5E-5E10572EF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7310024"/>
        <c:axId val="317309632"/>
        <c:axId val="0"/>
      </c:bar3DChart>
      <c:catAx>
        <c:axId val="31731002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317309632"/>
        <c:crosses val="autoZero"/>
        <c:auto val="1"/>
        <c:lblAlgn val="ctr"/>
        <c:lblOffset val="100"/>
        <c:noMultiLvlLbl val="0"/>
      </c:catAx>
      <c:valAx>
        <c:axId val="317309632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317310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 שינוי חודשי 2017/16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topten!$P$111:$P$120</c:f>
              <c:strCache>
                <c:ptCount val="10"/>
                <c:pt idx="0">
                  <c:v>BELGIUM</c:v>
                </c:pt>
                <c:pt idx="1">
                  <c:v>TURKEY</c:v>
                </c:pt>
                <c:pt idx="2">
                  <c:v>INDIA</c:v>
                </c:pt>
                <c:pt idx="3">
                  <c:v>UNITED KINGDOM</c:v>
                </c:pt>
                <c:pt idx="4">
                  <c:v>FRANCE</c:v>
                </c:pt>
                <c:pt idx="5">
                  <c:v>ROMANIA</c:v>
                </c:pt>
                <c:pt idx="6">
                  <c:v>INDONESIA</c:v>
                </c:pt>
                <c:pt idx="7">
                  <c:v>BRAZIL</c:v>
                </c:pt>
                <c:pt idx="8">
                  <c:v>GREECE</c:v>
                </c:pt>
                <c:pt idx="9">
                  <c:v>POLAND</c:v>
                </c:pt>
              </c:strCache>
            </c:strRef>
          </c:cat>
          <c:val>
            <c:numRef>
              <c:f>topten!$P$101:$P$110</c:f>
              <c:numCache>
                <c:formatCode>0.00%</c:formatCode>
                <c:ptCount val="10"/>
                <c:pt idx="0">
                  <c:v>-0.16999692591454041</c:v>
                </c:pt>
                <c:pt idx="1">
                  <c:v>-0.15627292736610421</c:v>
                </c:pt>
                <c:pt idx="2">
                  <c:v>-9.9504727600180143E-2</c:v>
                </c:pt>
                <c:pt idx="3">
                  <c:v>-9.4778490498171664E-2</c:v>
                </c:pt>
                <c:pt idx="4">
                  <c:v>-6.8016294284656387E-2</c:v>
                </c:pt>
                <c:pt idx="5">
                  <c:v>0.33720930232558133</c:v>
                </c:pt>
                <c:pt idx="6">
                  <c:v>0.41927853341218202</c:v>
                </c:pt>
                <c:pt idx="7">
                  <c:v>0.49970005998800238</c:v>
                </c:pt>
                <c:pt idx="8">
                  <c:v>0.56412930135557882</c:v>
                </c:pt>
                <c:pt idx="9">
                  <c:v>0.70321481796891638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FE6-44A1-9CE5-F3182C57F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7307672"/>
        <c:axId val="317303752"/>
        <c:axId val="0"/>
      </c:bar3DChart>
      <c:catAx>
        <c:axId val="31730767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317303752"/>
        <c:crosses val="autoZero"/>
        <c:auto val="1"/>
        <c:lblAlgn val="ctr"/>
        <c:lblOffset val="100"/>
        <c:noMultiLvlLbl val="0"/>
      </c:catAx>
      <c:valAx>
        <c:axId val="317303752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317307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 שינוי חודשי 2017/15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topten!$O$111:$O$120</c:f>
              <c:strCache>
                <c:ptCount val="10"/>
                <c:pt idx="0">
                  <c:v>NORDIC COUNTRIES</c:v>
                </c:pt>
                <c:pt idx="1">
                  <c:v>BELGIUM</c:v>
                </c:pt>
                <c:pt idx="2">
                  <c:v>      SWEDEN</c:v>
                </c:pt>
                <c:pt idx="3">
                  <c:v>FRANCE</c:v>
                </c:pt>
                <c:pt idx="4">
                  <c:v>UNITED KINGDOM</c:v>
                </c:pt>
                <c:pt idx="5">
                  <c:v>POLAND</c:v>
                </c:pt>
                <c:pt idx="6">
                  <c:v>SPAIN</c:v>
                </c:pt>
                <c:pt idx="7">
                  <c:v>CHINA</c:v>
                </c:pt>
                <c:pt idx="8">
                  <c:v>JAPAN</c:v>
                </c:pt>
                <c:pt idx="9">
                  <c:v>GREECE</c:v>
                </c:pt>
              </c:strCache>
            </c:strRef>
          </c:cat>
          <c:val>
            <c:numRef>
              <c:f>topten!$O$101:$O$110</c:f>
              <c:numCache>
                <c:formatCode>0.00%</c:formatCode>
                <c:ptCount val="10"/>
                <c:pt idx="0">
                  <c:v>-0.10202817773649164</c:v>
                </c:pt>
                <c:pt idx="1">
                  <c:v>-7.0247933884297398E-2</c:v>
                </c:pt>
                <c:pt idx="2">
                  <c:v>-2.0088192062714283E-2</c:v>
                </c:pt>
                <c:pt idx="3">
                  <c:v>-1.0225485055060379E-2</c:v>
                </c:pt>
                <c:pt idx="4">
                  <c:v>7.7955454026270798E-2</c:v>
                </c:pt>
                <c:pt idx="5">
                  <c:v>0.70830664104206709</c:v>
                </c:pt>
                <c:pt idx="6">
                  <c:v>0.8023817186997102</c:v>
                </c:pt>
                <c:pt idx="7">
                  <c:v>0.95953141640042605</c:v>
                </c:pt>
                <c:pt idx="8">
                  <c:v>1.0278833967046896</c:v>
                </c:pt>
                <c:pt idx="9">
                  <c:v>1.4174053182917001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D15-4F46-A746-7004C5036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7310416"/>
        <c:axId val="317304536"/>
        <c:axId val="0"/>
      </c:bar3DChart>
      <c:catAx>
        <c:axId val="31731041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317304536"/>
        <c:crosses val="autoZero"/>
        <c:auto val="1"/>
        <c:lblAlgn val="ctr"/>
        <c:lblOffset val="100"/>
        <c:noMultiLvlLbl val="0"/>
      </c:catAx>
      <c:valAx>
        <c:axId val="317304536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317310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</a:t>
            </a:r>
            <a:r>
              <a:rPr lang="he-IL" baseline="0"/>
              <a:t> שינוי מצטבר 2017/16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topten!$J$111:$J$120</c:f>
              <c:strCache>
                <c:ptCount val="10"/>
                <c:pt idx="0">
                  <c:v>IRELAND</c:v>
                </c:pt>
                <c:pt idx="1">
                  <c:v>      NORWAY</c:v>
                </c:pt>
                <c:pt idx="2">
                  <c:v>FRANCE</c:v>
                </c:pt>
                <c:pt idx="3">
                  <c:v>BELGIUM</c:v>
                </c:pt>
                <c:pt idx="4">
                  <c:v>      DENMARK</c:v>
                </c:pt>
                <c:pt idx="5">
                  <c:v>POLAND</c:v>
                </c:pt>
                <c:pt idx="6">
                  <c:v>GREECE</c:v>
                </c:pt>
                <c:pt idx="7">
                  <c:v>BRAZIL</c:v>
                </c:pt>
                <c:pt idx="8">
                  <c:v>INDONESIA</c:v>
                </c:pt>
                <c:pt idx="9">
                  <c:v>SLOVAKIA</c:v>
                </c:pt>
              </c:strCache>
            </c:strRef>
          </c:cat>
          <c:val>
            <c:numRef>
              <c:f>topten!$J$101:$J$110</c:f>
              <c:numCache>
                <c:formatCode>0.00%</c:formatCode>
                <c:ptCount val="10"/>
                <c:pt idx="0">
                  <c:v>-3.7569573283858793E-2</c:v>
                </c:pt>
                <c:pt idx="1">
                  <c:v>8.7449025826914273E-2</c:v>
                </c:pt>
                <c:pt idx="2">
                  <c:v>8.9418438541645218E-2</c:v>
                </c:pt>
                <c:pt idx="3">
                  <c:v>9.7587480982395336E-2</c:v>
                </c:pt>
                <c:pt idx="4">
                  <c:v>0.10095416027223614</c:v>
                </c:pt>
                <c:pt idx="5">
                  <c:v>0.60966287730301838</c:v>
                </c:pt>
                <c:pt idx="6">
                  <c:v>0.63957301332589123</c:v>
                </c:pt>
                <c:pt idx="7">
                  <c:v>0.67505445804852404</c:v>
                </c:pt>
                <c:pt idx="8">
                  <c:v>0.68546137989571965</c:v>
                </c:pt>
                <c:pt idx="9">
                  <c:v>0.77941647964091065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A82-432E-8EFC-20557C37E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8259000"/>
        <c:axId val="318261744"/>
        <c:axId val="0"/>
      </c:bar3DChart>
      <c:catAx>
        <c:axId val="31825900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318261744"/>
        <c:crosses val="autoZero"/>
        <c:auto val="1"/>
        <c:lblAlgn val="ctr"/>
        <c:lblOffset val="100"/>
        <c:noMultiLvlLbl val="0"/>
      </c:catAx>
      <c:valAx>
        <c:axId val="318261744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318259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 שינוי</a:t>
            </a:r>
            <a:r>
              <a:rPr lang="he-IL" baseline="0"/>
              <a:t> מצטבר 2017/15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topten!$I$111:$I$120</c:f>
              <c:strCache>
                <c:ptCount val="10"/>
                <c:pt idx="0">
                  <c:v>      NORWAY</c:v>
                </c:pt>
                <c:pt idx="1">
                  <c:v>      DENMARK</c:v>
                </c:pt>
                <c:pt idx="2">
                  <c:v>FRANCE</c:v>
                </c:pt>
                <c:pt idx="3">
                  <c:v>NORDIC COUNTRIES</c:v>
                </c:pt>
                <c:pt idx="4">
                  <c:v>RUSSIA</c:v>
                </c:pt>
                <c:pt idx="5">
                  <c:v>KOREA</c:v>
                </c:pt>
                <c:pt idx="6">
                  <c:v>GREECE</c:v>
                </c:pt>
                <c:pt idx="7">
                  <c:v>PHILIPPINES</c:v>
                </c:pt>
                <c:pt idx="8">
                  <c:v>LITHUANIA</c:v>
                </c:pt>
                <c:pt idx="9">
                  <c:v>CHINA</c:v>
                </c:pt>
              </c:strCache>
            </c:strRef>
          </c:cat>
          <c:val>
            <c:numRef>
              <c:f>topten!$I$101:$I$110</c:f>
              <c:numCache>
                <c:formatCode>0.00%</c:formatCode>
                <c:ptCount val="10"/>
                <c:pt idx="0">
                  <c:v>-3.5447311309380281E-2</c:v>
                </c:pt>
                <c:pt idx="1">
                  <c:v>-3.344853845703244E-2</c:v>
                </c:pt>
                <c:pt idx="2">
                  <c:v>2.9173609970192693E-2</c:v>
                </c:pt>
                <c:pt idx="3">
                  <c:v>3.6832230670484911E-2</c:v>
                </c:pt>
                <c:pt idx="4">
                  <c:v>5.2155002283087226E-2</c:v>
                </c:pt>
                <c:pt idx="5">
                  <c:v>0.69762332734172161</c:v>
                </c:pt>
                <c:pt idx="6">
                  <c:v>0.71582943925233655</c:v>
                </c:pt>
                <c:pt idx="7">
                  <c:v>0.76211453744493385</c:v>
                </c:pt>
                <c:pt idx="8">
                  <c:v>0.86125211505922161</c:v>
                </c:pt>
                <c:pt idx="9">
                  <c:v>1.4193131939065329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DC1-478D-BDE7-26B9AAEC3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8260960"/>
        <c:axId val="318259784"/>
        <c:axId val="0"/>
      </c:bar3DChart>
      <c:catAx>
        <c:axId val="31826096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318259784"/>
        <c:crosses val="autoZero"/>
        <c:auto val="1"/>
        <c:lblAlgn val="ctr"/>
        <c:lblOffset val="100"/>
        <c:noMultiLvlLbl val="0"/>
      </c:catAx>
      <c:valAx>
        <c:axId val="318259784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318260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 שינוי חודשי 2017/16</a:t>
            </a:r>
            <a:r>
              <a:rPr lang="he-IL" baseline="0"/>
              <a:t> </a:t>
            </a:r>
            <a:r>
              <a:rPr lang="he-IL"/>
              <a:t>מדינות</a:t>
            </a:r>
            <a:r>
              <a:rPr lang="he-IL" baseline="0"/>
              <a:t>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topten!$L$111:$L$120</c:f>
              <c:strCache>
                <c:ptCount val="10"/>
                <c:pt idx="0">
                  <c:v>IRELAND</c:v>
                </c:pt>
                <c:pt idx="1">
                  <c:v>      NORWAY</c:v>
                </c:pt>
                <c:pt idx="2">
                  <c:v>BELARUS</c:v>
                </c:pt>
                <c:pt idx="3">
                  <c:v>UKRAINE</c:v>
                </c:pt>
                <c:pt idx="4">
                  <c:v>TURKEY</c:v>
                </c:pt>
                <c:pt idx="5">
                  <c:v>SLOVAKIA</c:v>
                </c:pt>
                <c:pt idx="6">
                  <c:v>KOREA</c:v>
                </c:pt>
                <c:pt idx="7">
                  <c:v>GREECE</c:v>
                </c:pt>
                <c:pt idx="8">
                  <c:v>POLAND</c:v>
                </c:pt>
                <c:pt idx="9">
                  <c:v>AUSTRALIA</c:v>
                </c:pt>
              </c:strCache>
            </c:strRef>
          </c:cat>
          <c:val>
            <c:numRef>
              <c:f>topten!$L$101:$L$110</c:f>
              <c:numCache>
                <c:formatCode>0.00%</c:formatCode>
                <c:ptCount val="10"/>
                <c:pt idx="0">
                  <c:v>-7.4609600925390374E-2</c:v>
                </c:pt>
                <c:pt idx="1">
                  <c:v>0.13039967702866373</c:v>
                </c:pt>
                <c:pt idx="2">
                  <c:v>0.28830083565459619</c:v>
                </c:pt>
                <c:pt idx="3">
                  <c:v>0.29352485523050298</c:v>
                </c:pt>
                <c:pt idx="4">
                  <c:v>0.33887349953831958</c:v>
                </c:pt>
                <c:pt idx="5">
                  <c:v>1.3351648351648353</c:v>
                </c:pt>
                <c:pt idx="6">
                  <c:v>1.3507287259050309</c:v>
                </c:pt>
                <c:pt idx="7">
                  <c:v>1.4199288256227756</c:v>
                </c:pt>
                <c:pt idx="8">
                  <c:v>1.4515266324938709</c:v>
                </c:pt>
                <c:pt idx="9">
                  <c:v>1.6810912511759173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0B9-427F-925B-4B1E401BF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8260176"/>
        <c:axId val="318257824"/>
        <c:axId val="0"/>
      </c:bar3DChart>
      <c:catAx>
        <c:axId val="31826017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318257824"/>
        <c:crosses val="autoZero"/>
        <c:auto val="1"/>
        <c:lblAlgn val="ctr"/>
        <c:lblOffset val="100"/>
        <c:noMultiLvlLbl val="0"/>
      </c:catAx>
      <c:valAx>
        <c:axId val="318257824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318260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2016/14</c:v>
          </c:tx>
          <c:spPr>
            <a:solidFill>
              <a:srgbClr val="17375E"/>
            </a:solidFill>
          </c:spPr>
          <c:invertIfNegative val="1"/>
          <c:cat>
            <c:strRef>
              <c:f>topten!$AS$111:$AS$120</c:f>
              <c:strCache>
                <c:ptCount val="10"/>
                <c:pt idx="0">
                  <c:v>      SWEDEN</c:v>
                </c:pt>
                <c:pt idx="1">
                  <c:v>HUNGARY</c:v>
                </c:pt>
                <c:pt idx="2">
                  <c:v>INDONESIA</c:v>
                </c:pt>
                <c:pt idx="3">
                  <c:v>AUSTRIA</c:v>
                </c:pt>
                <c:pt idx="4">
                  <c:v>INDIA</c:v>
                </c:pt>
                <c:pt idx="5">
                  <c:v>FRANCE</c:v>
                </c:pt>
                <c:pt idx="6">
                  <c:v>TOTAL CIS</c:v>
                </c:pt>
                <c:pt idx="7">
                  <c:v>UNITED STATES</c:v>
                </c:pt>
                <c:pt idx="8">
                  <c:v>AMERICA</c:v>
                </c:pt>
                <c:pt idx="9">
                  <c:v>EUROPE</c:v>
                </c:pt>
              </c:strCache>
            </c:strRef>
          </c:cat>
          <c:val>
            <c:numRef>
              <c:f>topten!$AS$101:$AS$110</c:f>
              <c:numCache>
                <c:formatCode>_(* #,##0.00_);_(* \(#,##0.00\);_(* "-"??_);_(@_)</c:formatCode>
                <c:ptCount val="10"/>
                <c:pt idx="0">
                  <c:v>2.1920000000000002</c:v>
                </c:pt>
                <c:pt idx="1">
                  <c:v>2.63</c:v>
                </c:pt>
                <c:pt idx="2">
                  <c:v>2.7050000000000001</c:v>
                </c:pt>
                <c:pt idx="3">
                  <c:v>3.4829999999999997</c:v>
                </c:pt>
                <c:pt idx="4">
                  <c:v>3.633</c:v>
                </c:pt>
                <c:pt idx="5">
                  <c:v>32.872999999999998</c:v>
                </c:pt>
                <c:pt idx="6">
                  <c:v>47.930999999999997</c:v>
                </c:pt>
                <c:pt idx="7">
                  <c:v>85.635999999999996</c:v>
                </c:pt>
                <c:pt idx="8">
                  <c:v>110.80099999999999</c:v>
                </c:pt>
                <c:pt idx="9">
                  <c:v>198.185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34D-4E8F-B633-7E44FD363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89539080"/>
        <c:axId val="289540256"/>
        <c:axId val="0"/>
      </c:bar3DChart>
      <c:catAx>
        <c:axId val="28953908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89540256"/>
        <c:crosses val="autoZero"/>
        <c:auto val="1"/>
        <c:lblAlgn val="ctr"/>
        <c:lblOffset val="100"/>
        <c:noMultiLvlLbl val="0"/>
      </c:catAx>
      <c:valAx>
        <c:axId val="289540256"/>
        <c:scaling>
          <c:orientation val="minMax"/>
        </c:scaling>
        <c:delete val="0"/>
        <c:axPos val="r"/>
        <c:majorGridlines/>
        <c:numFmt formatCode="_(* #,##0.00_);_(* \(#,##0.00\);_(* &quot;-&quot;??_);_(@_)" sourceLinked="1"/>
        <c:majorTickMark val="out"/>
        <c:minorTickMark val="none"/>
        <c:tickLblPos val="nextTo"/>
        <c:crossAx val="289539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 שינוי</a:t>
            </a:r>
            <a:r>
              <a:rPr lang="en-US"/>
              <a:t> </a:t>
            </a:r>
            <a:r>
              <a:rPr lang="he-IL" baseline="0"/>
              <a:t> חודשי</a:t>
            </a:r>
            <a:r>
              <a:rPr lang="he-IL"/>
              <a:t> 2017/15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topten!$K$111:$K$120</c:f>
              <c:strCache>
                <c:ptCount val="10"/>
                <c:pt idx="0">
                  <c:v>MEXICO</c:v>
                </c:pt>
                <c:pt idx="1">
                  <c:v>ARGENTINA</c:v>
                </c:pt>
                <c:pt idx="2">
                  <c:v>      FINLAND</c:v>
                </c:pt>
                <c:pt idx="3">
                  <c:v>      NORWAY</c:v>
                </c:pt>
                <c:pt idx="4">
                  <c:v>      DENMARK</c:v>
                </c:pt>
                <c:pt idx="5">
                  <c:v>AUSTRALIA</c:v>
                </c:pt>
                <c:pt idx="6">
                  <c:v>PHILIPPINES</c:v>
                </c:pt>
                <c:pt idx="7">
                  <c:v>CHINA</c:v>
                </c:pt>
                <c:pt idx="8">
                  <c:v>GREECE</c:v>
                </c:pt>
                <c:pt idx="9">
                  <c:v>KOREA</c:v>
                </c:pt>
              </c:strCache>
            </c:strRef>
          </c:cat>
          <c:val>
            <c:numRef>
              <c:f>topten!$K$101:$K$110</c:f>
              <c:numCache>
                <c:formatCode>0.00%</c:formatCode>
                <c:ptCount val="10"/>
                <c:pt idx="0">
                  <c:v>3.3344448149374983E-4</c:v>
                </c:pt>
                <c:pt idx="1">
                  <c:v>0.10356536502546709</c:v>
                </c:pt>
                <c:pt idx="2">
                  <c:v>0.10943015632879471</c:v>
                </c:pt>
                <c:pt idx="3">
                  <c:v>0.19047619047619047</c:v>
                </c:pt>
                <c:pt idx="4">
                  <c:v>0.19552641727728504</c:v>
                </c:pt>
                <c:pt idx="5">
                  <c:v>1.1788990825688073</c:v>
                </c:pt>
                <c:pt idx="6">
                  <c:v>1.1868787276341948</c:v>
                </c:pt>
                <c:pt idx="7">
                  <c:v>1.2058823529411766</c:v>
                </c:pt>
                <c:pt idx="8">
                  <c:v>1.4251069900142652</c:v>
                </c:pt>
                <c:pt idx="9">
                  <c:v>1.4425989252564726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5AD-40B3-A64E-62F8EBCFC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8260568"/>
        <c:axId val="318255080"/>
        <c:axId val="0"/>
      </c:bar3DChart>
      <c:catAx>
        <c:axId val="31826056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318255080"/>
        <c:crosses val="autoZero"/>
        <c:auto val="1"/>
        <c:lblAlgn val="ctr"/>
        <c:lblOffset val="100"/>
        <c:noMultiLvlLbl val="0"/>
      </c:catAx>
      <c:valAx>
        <c:axId val="318255080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318260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</a:t>
            </a:r>
            <a:r>
              <a:rPr lang="he-IL" baseline="0"/>
              <a:t> שינוי מצטבר 2017/16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topten!$F$111:$F$120</c:f>
              <c:strCache>
                <c:ptCount val="10"/>
                <c:pt idx="0">
                  <c:v>FRANCE</c:v>
                </c:pt>
                <c:pt idx="1">
                  <c:v>UNITED KINGDOM</c:v>
                </c:pt>
                <c:pt idx="2">
                  <c:v>      DENMARK</c:v>
                </c:pt>
                <c:pt idx="3">
                  <c:v>BELGIUM</c:v>
                </c:pt>
                <c:pt idx="4">
                  <c:v>UKRAINE</c:v>
                </c:pt>
                <c:pt idx="5">
                  <c:v>LATVIA</c:v>
                </c:pt>
                <c:pt idx="6">
                  <c:v>BRAZIL</c:v>
                </c:pt>
                <c:pt idx="7">
                  <c:v>INDONESIA</c:v>
                </c:pt>
                <c:pt idx="8">
                  <c:v>SLOVAKIA</c:v>
                </c:pt>
                <c:pt idx="9">
                  <c:v>POLAND</c:v>
                </c:pt>
              </c:strCache>
            </c:strRef>
          </c:cat>
          <c:val>
            <c:numRef>
              <c:f>topten!$F$101:$F$110</c:f>
              <c:numCache>
                <c:formatCode>0.00%</c:formatCode>
                <c:ptCount val="10"/>
                <c:pt idx="0">
                  <c:v>8.2074083089597183E-2</c:v>
                </c:pt>
                <c:pt idx="1">
                  <c:v>0.10049611554614346</c:v>
                </c:pt>
                <c:pt idx="2">
                  <c:v>0.10204578665367769</c:v>
                </c:pt>
                <c:pt idx="3">
                  <c:v>0.10482617181039333</c:v>
                </c:pt>
                <c:pt idx="4">
                  <c:v>0.11668501978057844</c:v>
                </c:pt>
                <c:pt idx="5">
                  <c:v>0.62545151430953072</c:v>
                </c:pt>
                <c:pt idx="6">
                  <c:v>0.64983598121824149</c:v>
                </c:pt>
                <c:pt idx="7">
                  <c:v>0.65840049597024164</c:v>
                </c:pt>
                <c:pt idx="8">
                  <c:v>0.69620253164556956</c:v>
                </c:pt>
                <c:pt idx="9">
                  <c:v>0.79934453959192275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D20-4EBA-AB6F-3FAD4186A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8254296"/>
        <c:axId val="318255864"/>
        <c:axId val="0"/>
      </c:bar3DChart>
      <c:catAx>
        <c:axId val="31825429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318255864"/>
        <c:crosses val="autoZero"/>
        <c:auto val="1"/>
        <c:lblAlgn val="ctr"/>
        <c:lblOffset val="100"/>
        <c:noMultiLvlLbl val="0"/>
      </c:catAx>
      <c:valAx>
        <c:axId val="318255864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318254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 שינוי</a:t>
            </a:r>
            <a:r>
              <a:rPr lang="he-IL" baseline="0"/>
              <a:t> מצטבר 2017/15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topten!$E$111:$E$120</c:f>
              <c:strCache>
                <c:ptCount val="10"/>
                <c:pt idx="0">
                  <c:v>      DENMARK</c:v>
                </c:pt>
                <c:pt idx="1">
                  <c:v>FRANCE</c:v>
                </c:pt>
                <c:pt idx="2">
                  <c:v>NORDIC COUNTRIES</c:v>
                </c:pt>
                <c:pt idx="3">
                  <c:v>RUSSIA</c:v>
                </c:pt>
                <c:pt idx="4">
                  <c:v>BELGIUM</c:v>
                </c:pt>
                <c:pt idx="5">
                  <c:v>ROMANIA</c:v>
                </c:pt>
                <c:pt idx="6">
                  <c:v>MALAYSIA</c:v>
                </c:pt>
                <c:pt idx="7">
                  <c:v>PHILIPPINES</c:v>
                </c:pt>
                <c:pt idx="8">
                  <c:v>LATVIA</c:v>
                </c:pt>
                <c:pt idx="9">
                  <c:v>CHINA</c:v>
                </c:pt>
              </c:strCache>
            </c:strRef>
          </c:cat>
          <c:val>
            <c:numRef>
              <c:f>topten!$E$101:$E$110</c:f>
              <c:numCache>
                <c:formatCode>0.00%</c:formatCode>
                <c:ptCount val="10"/>
                <c:pt idx="0">
                  <c:v>-1.1145104895104785E-2</c:v>
                </c:pt>
                <c:pt idx="1">
                  <c:v>4.6463725043035531E-2</c:v>
                </c:pt>
                <c:pt idx="2">
                  <c:v>6.9049061175045168E-2</c:v>
                </c:pt>
                <c:pt idx="3">
                  <c:v>0.10169521917351321</c:v>
                </c:pt>
                <c:pt idx="4">
                  <c:v>0.11211001231978157</c:v>
                </c:pt>
                <c:pt idx="5">
                  <c:v>0.79696896800577344</c:v>
                </c:pt>
                <c:pt idx="6">
                  <c:v>0.88172043010752676</c:v>
                </c:pt>
                <c:pt idx="7">
                  <c:v>0.94072657743785837</c:v>
                </c:pt>
                <c:pt idx="8">
                  <c:v>1.2539009824696592</c:v>
                </c:pt>
                <c:pt idx="9">
                  <c:v>1.3947866110693372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58E-4196-B1A1-4B4B2A9B5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8258608"/>
        <c:axId val="318261352"/>
        <c:axId val="0"/>
      </c:bar3DChart>
      <c:catAx>
        <c:axId val="31825860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318261352"/>
        <c:crosses val="autoZero"/>
        <c:auto val="1"/>
        <c:lblAlgn val="ctr"/>
        <c:lblOffset val="100"/>
        <c:noMultiLvlLbl val="0"/>
      </c:catAx>
      <c:valAx>
        <c:axId val="318261352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318258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 שינוי חודשי 2017/16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topten!$H$111:$H$120</c:f>
              <c:strCache>
                <c:ptCount val="10"/>
                <c:pt idx="0">
                  <c:v>AUSTRIA</c:v>
                </c:pt>
                <c:pt idx="1">
                  <c:v>UKRAINE</c:v>
                </c:pt>
                <c:pt idx="2">
                  <c:v>      FINLAND</c:v>
                </c:pt>
                <c:pt idx="3">
                  <c:v>UNITED KINGDOM</c:v>
                </c:pt>
                <c:pt idx="4">
                  <c:v>FRANCE</c:v>
                </c:pt>
                <c:pt idx="5">
                  <c:v>PHILIPPINES</c:v>
                </c:pt>
                <c:pt idx="6">
                  <c:v>KOREA</c:v>
                </c:pt>
                <c:pt idx="7">
                  <c:v>CZECH REP.</c:v>
                </c:pt>
                <c:pt idx="8">
                  <c:v>ROMANIA</c:v>
                </c:pt>
                <c:pt idx="9">
                  <c:v>POLAND</c:v>
                </c:pt>
              </c:strCache>
            </c:strRef>
          </c:cat>
          <c:val>
            <c:numRef>
              <c:f>topten!$H$101:$H$110</c:f>
              <c:numCache>
                <c:formatCode>0.00%</c:formatCode>
                <c:ptCount val="10"/>
                <c:pt idx="0">
                  <c:v>-0.14018691588785048</c:v>
                </c:pt>
                <c:pt idx="1">
                  <c:v>-6.9090909090909092E-2</c:v>
                </c:pt>
                <c:pt idx="2">
                  <c:v>-4.7114875595553163E-2</c:v>
                </c:pt>
                <c:pt idx="3">
                  <c:v>-1.1936339522546358E-2</c:v>
                </c:pt>
                <c:pt idx="4">
                  <c:v>-7.4710496824814676E-4</c:v>
                </c:pt>
                <c:pt idx="5">
                  <c:v>0.77173465183353929</c:v>
                </c:pt>
                <c:pt idx="6">
                  <c:v>0.80436847103513776</c:v>
                </c:pt>
                <c:pt idx="7">
                  <c:v>0.92998204667863527</c:v>
                </c:pt>
                <c:pt idx="8">
                  <c:v>0.9310117181052977</c:v>
                </c:pt>
                <c:pt idx="9">
                  <c:v>1.9942892421670009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DD8-4407-BACE-1286BA84F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8259392"/>
        <c:axId val="318481800"/>
        <c:axId val="0"/>
      </c:bar3DChart>
      <c:catAx>
        <c:axId val="31825939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318481800"/>
        <c:crosses val="autoZero"/>
        <c:auto val="1"/>
        <c:lblAlgn val="ctr"/>
        <c:lblOffset val="100"/>
        <c:noMultiLvlLbl val="0"/>
      </c:catAx>
      <c:valAx>
        <c:axId val="318481800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318259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 שינוי חודשי 2017/15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topten!$G$111:$G$120</c:f>
              <c:strCache>
                <c:ptCount val="10"/>
                <c:pt idx="0">
                  <c:v>LITHUANIA</c:v>
                </c:pt>
                <c:pt idx="1">
                  <c:v>UNITED KINGDOM</c:v>
                </c:pt>
                <c:pt idx="2">
                  <c:v>BELGIUM</c:v>
                </c:pt>
                <c:pt idx="3">
                  <c:v>AUSTRIA</c:v>
                </c:pt>
                <c:pt idx="4">
                  <c:v>      FINLAND</c:v>
                </c:pt>
                <c:pt idx="5">
                  <c:v>SLOVAKIA</c:v>
                </c:pt>
                <c:pt idx="6">
                  <c:v>KOREA</c:v>
                </c:pt>
                <c:pt idx="7">
                  <c:v>PHILIPPINES</c:v>
                </c:pt>
                <c:pt idx="8">
                  <c:v>LATVIA</c:v>
                </c:pt>
                <c:pt idx="9">
                  <c:v>POLAND</c:v>
                </c:pt>
              </c:strCache>
            </c:strRef>
          </c:cat>
          <c:val>
            <c:numRef>
              <c:f>topten!$G$101:$G$110</c:f>
              <c:numCache>
                <c:formatCode>0.00%</c:formatCode>
                <c:ptCount val="10"/>
                <c:pt idx="0">
                  <c:v>0.16071428571428559</c:v>
                </c:pt>
                <c:pt idx="1">
                  <c:v>0.18658915346022131</c:v>
                </c:pt>
                <c:pt idx="2">
                  <c:v>0.24899274778404501</c:v>
                </c:pt>
                <c:pt idx="3">
                  <c:v>0.2849162011173183</c:v>
                </c:pt>
                <c:pt idx="4">
                  <c:v>0.29032258064516125</c:v>
                </c:pt>
                <c:pt idx="5">
                  <c:v>1.9947916666666665</c:v>
                </c:pt>
                <c:pt idx="6">
                  <c:v>2.0669895076674734</c:v>
                </c:pt>
                <c:pt idx="7">
                  <c:v>2.1159420289855073</c:v>
                </c:pt>
                <c:pt idx="8">
                  <c:v>2.1496062992125982</c:v>
                </c:pt>
                <c:pt idx="9">
                  <c:v>3.0919637207340225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04C-48C3-AF2B-F23D6B87B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8475528"/>
        <c:axId val="318478664"/>
        <c:axId val="0"/>
      </c:bar3DChart>
      <c:catAx>
        <c:axId val="31847552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318478664"/>
        <c:crosses val="autoZero"/>
        <c:auto val="1"/>
        <c:lblAlgn val="ctr"/>
        <c:lblOffset val="100"/>
        <c:noMultiLvlLbl val="0"/>
      </c:catAx>
      <c:valAx>
        <c:axId val="318478664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318475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</a:t>
            </a:r>
            <a:r>
              <a:rPr lang="he-IL" baseline="0"/>
              <a:t> שינוי מצטבר 2017/16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topten!$V$111:$V$120</c:f>
              <c:strCache>
                <c:ptCount val="10"/>
                <c:pt idx="0">
                  <c:v>JORDAN</c:v>
                </c:pt>
                <c:pt idx="1">
                  <c:v>      DENMARK</c:v>
                </c:pt>
                <c:pt idx="2">
                  <c:v>BELARUS</c:v>
                </c:pt>
                <c:pt idx="3">
                  <c:v>FRANCE</c:v>
                </c:pt>
                <c:pt idx="4">
                  <c:v>BELGIUM</c:v>
                </c:pt>
                <c:pt idx="5">
                  <c:v>ROMANIA</c:v>
                </c:pt>
                <c:pt idx="6">
                  <c:v>CZECH REP.</c:v>
                </c:pt>
                <c:pt idx="7">
                  <c:v>GREECE</c:v>
                </c:pt>
                <c:pt idx="8">
                  <c:v>CHINA</c:v>
                </c:pt>
                <c:pt idx="9">
                  <c:v>BRAZIL</c:v>
                </c:pt>
              </c:strCache>
            </c:strRef>
          </c:cat>
          <c:val>
            <c:numRef>
              <c:f>topten!$V$101:$V$110</c:f>
              <c:numCache>
                <c:formatCode>0.00%</c:formatCode>
                <c:ptCount val="10"/>
                <c:pt idx="0">
                  <c:v>-5.8226931087566713E-2</c:v>
                </c:pt>
                <c:pt idx="1">
                  <c:v>4.8752834467120199E-2</c:v>
                </c:pt>
                <c:pt idx="2">
                  <c:v>5.9730250481695668E-2</c:v>
                </c:pt>
                <c:pt idx="3">
                  <c:v>6.8827521065844666E-2</c:v>
                </c:pt>
                <c:pt idx="4">
                  <c:v>7.4761455384292796E-2</c:v>
                </c:pt>
                <c:pt idx="5">
                  <c:v>0.54020562135960271</c:v>
                </c:pt>
                <c:pt idx="6">
                  <c:v>0.56893004115226309</c:v>
                </c:pt>
                <c:pt idx="7">
                  <c:v>0.60748056314351762</c:v>
                </c:pt>
                <c:pt idx="8">
                  <c:v>0.66357643180881754</c:v>
                </c:pt>
                <c:pt idx="9">
                  <c:v>0.71701297945404785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792-4234-AAC6-7282EDE1C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8477880"/>
        <c:axId val="318479056"/>
        <c:axId val="0"/>
      </c:bar3DChart>
      <c:catAx>
        <c:axId val="31847788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318479056"/>
        <c:crosses val="autoZero"/>
        <c:auto val="1"/>
        <c:lblAlgn val="ctr"/>
        <c:lblOffset val="100"/>
        <c:noMultiLvlLbl val="0"/>
      </c:catAx>
      <c:valAx>
        <c:axId val="318479056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318477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 שינוי</a:t>
            </a:r>
            <a:r>
              <a:rPr lang="he-IL" baseline="0"/>
              <a:t> מצטבר 2017/15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topten!$U$111:$U$120</c:f>
              <c:strCache>
                <c:ptCount val="10"/>
                <c:pt idx="0">
                  <c:v>JORDAN</c:v>
                </c:pt>
                <c:pt idx="1">
                  <c:v>FRANCE</c:v>
                </c:pt>
                <c:pt idx="2">
                  <c:v>      DENMARK</c:v>
                </c:pt>
                <c:pt idx="3">
                  <c:v>RUSSIA</c:v>
                </c:pt>
                <c:pt idx="4">
                  <c:v>ITALY</c:v>
                </c:pt>
                <c:pt idx="5">
                  <c:v>CZECH REP.</c:v>
                </c:pt>
                <c:pt idx="6">
                  <c:v>GREECE</c:v>
                </c:pt>
                <c:pt idx="7">
                  <c:v>ROMANIA</c:v>
                </c:pt>
                <c:pt idx="8">
                  <c:v>KOREA</c:v>
                </c:pt>
                <c:pt idx="9">
                  <c:v>CHINA</c:v>
                </c:pt>
              </c:strCache>
            </c:strRef>
          </c:cat>
          <c:val>
            <c:numRef>
              <c:f>topten!$U$101:$U$110</c:f>
              <c:numCache>
                <c:formatCode>0.00%</c:formatCode>
                <c:ptCount val="10"/>
                <c:pt idx="0">
                  <c:v>-0.34603533924416774</c:v>
                </c:pt>
                <c:pt idx="1">
                  <c:v>-0.19178629325940366</c:v>
                </c:pt>
                <c:pt idx="2">
                  <c:v>-0.14365067119271724</c:v>
                </c:pt>
                <c:pt idx="3">
                  <c:v>-0.10067374774048021</c:v>
                </c:pt>
                <c:pt idx="4">
                  <c:v>-9.5913261050875831E-2</c:v>
                </c:pt>
                <c:pt idx="5">
                  <c:v>0.37775268210050794</c:v>
                </c:pt>
                <c:pt idx="6">
                  <c:v>0.38423957296661526</c:v>
                </c:pt>
                <c:pt idx="7">
                  <c:v>0.49639194834789224</c:v>
                </c:pt>
                <c:pt idx="8">
                  <c:v>0.5046513079852657</c:v>
                </c:pt>
                <c:pt idx="9">
                  <c:v>1.302948201490143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ED6-442C-9732-2254E6328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8482192"/>
        <c:axId val="318477488"/>
        <c:axId val="0"/>
      </c:bar3DChart>
      <c:catAx>
        <c:axId val="31848219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318477488"/>
        <c:crosses val="autoZero"/>
        <c:auto val="1"/>
        <c:lblAlgn val="ctr"/>
        <c:lblOffset val="100"/>
        <c:noMultiLvlLbl val="0"/>
      </c:catAx>
      <c:valAx>
        <c:axId val="318477488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31848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 שינוי חודשי 2017/16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topten!$X$111:$X$120</c:f>
              <c:strCache>
                <c:ptCount val="10"/>
                <c:pt idx="0">
                  <c:v>JORDAN</c:v>
                </c:pt>
                <c:pt idx="1">
                  <c:v>FRANCE</c:v>
                </c:pt>
                <c:pt idx="2">
                  <c:v>SWITZERLAND</c:v>
                </c:pt>
                <c:pt idx="3">
                  <c:v>UKRAINE</c:v>
                </c:pt>
                <c:pt idx="4">
                  <c:v>BELGIUM</c:v>
                </c:pt>
                <c:pt idx="5">
                  <c:v>MEXICO</c:v>
                </c:pt>
                <c:pt idx="6">
                  <c:v>SPAIN</c:v>
                </c:pt>
                <c:pt idx="7">
                  <c:v>BRAZIL</c:v>
                </c:pt>
                <c:pt idx="8">
                  <c:v>SOUTH AFRICA</c:v>
                </c:pt>
                <c:pt idx="9">
                  <c:v>POLAND</c:v>
                </c:pt>
              </c:strCache>
            </c:strRef>
          </c:cat>
          <c:val>
            <c:numRef>
              <c:f>topten!$X$101:$X$110</c:f>
              <c:numCache>
                <c:formatCode>0.00%</c:formatCode>
                <c:ptCount val="10"/>
                <c:pt idx="0">
                  <c:v>-0.23439340400471143</c:v>
                </c:pt>
                <c:pt idx="1">
                  <c:v>-1.1505943678087771E-2</c:v>
                </c:pt>
                <c:pt idx="2">
                  <c:v>-5.8479532163743242E-3</c:v>
                </c:pt>
                <c:pt idx="3">
                  <c:v>1.7639077340569909E-2</c:v>
                </c:pt>
                <c:pt idx="4">
                  <c:v>2.1102791014295352E-2</c:v>
                </c:pt>
                <c:pt idx="5">
                  <c:v>0.44873699851411586</c:v>
                </c:pt>
                <c:pt idx="6">
                  <c:v>0.45505749823984987</c:v>
                </c:pt>
                <c:pt idx="7">
                  <c:v>0.50303805564438786</c:v>
                </c:pt>
                <c:pt idx="8">
                  <c:v>0.55261644623346751</c:v>
                </c:pt>
                <c:pt idx="9">
                  <c:v>1.254283137962128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16A-4201-BD64-1CAD98B99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8479448"/>
        <c:axId val="318477096"/>
        <c:axId val="0"/>
      </c:bar3DChart>
      <c:catAx>
        <c:axId val="31847944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318477096"/>
        <c:crosses val="autoZero"/>
        <c:auto val="1"/>
        <c:lblAlgn val="ctr"/>
        <c:lblOffset val="100"/>
        <c:noMultiLvlLbl val="0"/>
      </c:catAx>
      <c:valAx>
        <c:axId val="318477096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318479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 שינוי חודשי 2017/15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topten!$W$111:$W$120</c:f>
              <c:strCache>
                <c:ptCount val="10"/>
                <c:pt idx="0">
                  <c:v>JORDAN</c:v>
                </c:pt>
                <c:pt idx="1">
                  <c:v>FRANCE</c:v>
                </c:pt>
                <c:pt idx="2">
                  <c:v>      DENMARK</c:v>
                </c:pt>
                <c:pt idx="3">
                  <c:v>BELGIUM</c:v>
                </c:pt>
                <c:pt idx="4">
                  <c:v>ITALY</c:v>
                </c:pt>
                <c:pt idx="5">
                  <c:v>AUSTRALIA</c:v>
                </c:pt>
                <c:pt idx="6">
                  <c:v>ARGENTINA</c:v>
                </c:pt>
                <c:pt idx="7">
                  <c:v>BELARUS</c:v>
                </c:pt>
                <c:pt idx="8">
                  <c:v>POLAND</c:v>
                </c:pt>
                <c:pt idx="9">
                  <c:v>CHINA</c:v>
                </c:pt>
              </c:strCache>
            </c:strRef>
          </c:cat>
          <c:val>
            <c:numRef>
              <c:f>topten!$W$101:$W$110</c:f>
              <c:numCache>
                <c:formatCode>0.00%</c:formatCode>
                <c:ptCount val="10"/>
                <c:pt idx="0">
                  <c:v>-0.2896174863387978</c:v>
                </c:pt>
                <c:pt idx="1">
                  <c:v>-0.18181579016600458</c:v>
                </c:pt>
                <c:pt idx="2">
                  <c:v>-0.15929203539823</c:v>
                </c:pt>
                <c:pt idx="3">
                  <c:v>-5.6900345803206576E-2</c:v>
                </c:pt>
                <c:pt idx="4">
                  <c:v>-1.403109594235874E-2</c:v>
                </c:pt>
                <c:pt idx="5">
                  <c:v>0.43721633888048395</c:v>
                </c:pt>
                <c:pt idx="6">
                  <c:v>0.47244425746739593</c:v>
                </c:pt>
                <c:pt idx="7">
                  <c:v>0.6272189349112427</c:v>
                </c:pt>
                <c:pt idx="8">
                  <c:v>0.67954316425932149</c:v>
                </c:pt>
                <c:pt idx="9">
                  <c:v>1.5107367030062768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69F-4BCD-AC1F-0C0B3CDD0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8480232"/>
        <c:axId val="318480624"/>
        <c:axId val="0"/>
      </c:bar3DChart>
      <c:catAx>
        <c:axId val="31848023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318480624"/>
        <c:crosses val="autoZero"/>
        <c:auto val="1"/>
        <c:lblAlgn val="ctr"/>
        <c:lblOffset val="100"/>
        <c:noMultiLvlLbl val="0"/>
      </c:catAx>
      <c:valAx>
        <c:axId val="318480624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318480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%Change (Jan)</a:t>
            </a:r>
          </a:p>
        </c:rich>
      </c:tx>
      <c:overlay val="1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05615847314861"/>
          <c:y val="0.14439496418475781"/>
          <c:w val="0.69282022845735858"/>
          <c:h val="0.79435628659580471"/>
        </c:manualLayout>
      </c:layout>
      <c:bar3DChart>
        <c:barDir val="col"/>
        <c:grouping val="percentStacked"/>
        <c:varyColors val="0"/>
        <c:ser>
          <c:idx val="0"/>
          <c:order val="0"/>
          <c:tx>
            <c:v>2016/15</c:v>
          </c:tx>
          <c:invertIfNegative val="0"/>
          <c:cat>
            <c:strRef>
              <c:f>חיתוך!$AP$4:$AP$11</c:f>
              <c:strCache>
                <c:ptCount val="8"/>
                <c:pt idx="0">
                  <c:v>RUSSIA</c:v>
                </c:pt>
                <c:pt idx="1">
                  <c:v>TOTAL CIS</c:v>
                </c:pt>
                <c:pt idx="2">
                  <c:v>BRAZIL</c:v>
                </c:pt>
                <c:pt idx="3">
                  <c:v>ITALY</c:v>
                </c:pt>
                <c:pt idx="4">
                  <c:v>SPAIN</c:v>
                </c:pt>
                <c:pt idx="5">
                  <c:v>UNITED KINGDOM</c:v>
                </c:pt>
                <c:pt idx="6">
                  <c:v>BELGIUM</c:v>
                </c:pt>
                <c:pt idx="7">
                  <c:v>NETHERLANDS</c:v>
                </c:pt>
              </c:strCache>
            </c:strRef>
          </c:cat>
          <c:val>
            <c:numRef>
              <c:f>חיתוך!$AQ$4:$AQ$8</c:f>
              <c:numCache>
                <c:formatCode>0.00%</c:formatCode>
                <c:ptCount val="5"/>
                <c:pt idx="0">
                  <c:v>5.0304035378662126E-2</c:v>
                </c:pt>
                <c:pt idx="1">
                  <c:v>6.8883610451306421E-2</c:v>
                </c:pt>
                <c:pt idx="2">
                  <c:v>7.2066706372841072E-2</c:v>
                </c:pt>
                <c:pt idx="3">
                  <c:v>8.2878581173260635E-2</c:v>
                </c:pt>
                <c:pt idx="4">
                  <c:v>0.11209964412811368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E-42F3-AEBD-DEA940701DEC}"/>
            </c:ext>
          </c:extLst>
        </c:ser>
        <c:ser>
          <c:idx val="1"/>
          <c:order val="1"/>
          <c:tx>
            <c:v>2016/14</c:v>
          </c:tx>
          <c:invertIfNegative val="0"/>
          <c:cat>
            <c:strRef>
              <c:f>חיתוך!$AP$4:$AP$11</c:f>
              <c:strCache>
                <c:ptCount val="8"/>
                <c:pt idx="0">
                  <c:v>RUSSIA</c:v>
                </c:pt>
                <c:pt idx="1">
                  <c:v>TOTAL CIS</c:v>
                </c:pt>
                <c:pt idx="2">
                  <c:v>BRAZIL</c:v>
                </c:pt>
                <c:pt idx="3">
                  <c:v>ITALY</c:v>
                </c:pt>
                <c:pt idx="4">
                  <c:v>SPAIN</c:v>
                </c:pt>
                <c:pt idx="5">
                  <c:v>UNITED KINGDOM</c:v>
                </c:pt>
                <c:pt idx="6">
                  <c:v>BELGIUM</c:v>
                </c:pt>
                <c:pt idx="7">
                  <c:v>NETHERLANDS</c:v>
                </c:pt>
              </c:strCache>
            </c:strRef>
          </c:cat>
          <c:val>
            <c:numRef>
              <c:f>חיתוך!$AO$4:$AO$11</c:f>
              <c:numCache>
                <c:formatCode>0.00%</c:formatCode>
                <c:ptCount val="8"/>
                <c:pt idx="0">
                  <c:v>-0.1435063800034958</c:v>
                </c:pt>
                <c:pt idx="1">
                  <c:v>-3.0112691668206182E-2</c:v>
                </c:pt>
                <c:pt idx="2">
                  <c:v>3.5502958579881616E-2</c:v>
                </c:pt>
                <c:pt idx="3">
                  <c:v>4.2515067600586542E-2</c:v>
                </c:pt>
                <c:pt idx="4">
                  <c:v>0.10978993261989678</c:v>
                </c:pt>
                <c:pt idx="5">
                  <c:v>0.11327900837828531</c:v>
                </c:pt>
                <c:pt idx="6">
                  <c:v>0.12923462986198242</c:v>
                </c:pt>
                <c:pt idx="7">
                  <c:v>0.12972341254382536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4E-42F3-AEBD-DEA940701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8481408"/>
        <c:axId val="318476312"/>
        <c:axId val="0"/>
      </c:bar3DChart>
      <c:catAx>
        <c:axId val="31848140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18476312"/>
        <c:crosses val="autoZero"/>
        <c:auto val="1"/>
        <c:lblAlgn val="ctr"/>
        <c:lblOffset val="100"/>
        <c:noMultiLvlLbl val="0"/>
      </c:catAx>
      <c:valAx>
        <c:axId val="318476312"/>
        <c:scaling>
          <c:orientation val="minMax"/>
        </c:scaling>
        <c:delete val="0"/>
        <c:axPos val="r"/>
        <c:majorGridlines/>
        <c:numFmt formatCode="0%" sourceLinked="1"/>
        <c:majorTickMark val="out"/>
        <c:minorTickMark val="none"/>
        <c:tickLblPos val="nextTo"/>
        <c:crossAx val="318481408"/>
        <c:crosses val="autoZero"/>
        <c:crossBetween val="between"/>
      </c:valAx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 שינוי מצטבר 2017/16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topten!$AP$111:$AP$120</c:f>
              <c:strCache>
                <c:ptCount val="10"/>
                <c:pt idx="0">
                  <c:v>      DENMARK</c:v>
                </c:pt>
                <c:pt idx="1">
                  <c:v>FRANCE</c:v>
                </c:pt>
                <c:pt idx="2">
                  <c:v>NORDIC COUNTRIES</c:v>
                </c:pt>
                <c:pt idx="3">
                  <c:v>BELGIUM</c:v>
                </c:pt>
                <c:pt idx="4">
                  <c:v>CANADA</c:v>
                </c:pt>
                <c:pt idx="5">
                  <c:v>PHILIPPINES</c:v>
                </c:pt>
                <c:pt idx="6">
                  <c:v>GREECE</c:v>
                </c:pt>
                <c:pt idx="7">
                  <c:v>BRAZIL</c:v>
                </c:pt>
                <c:pt idx="8">
                  <c:v>INDONESIA</c:v>
                </c:pt>
                <c:pt idx="9">
                  <c:v>CHINA</c:v>
                </c:pt>
              </c:strCache>
            </c:strRef>
          </c:cat>
          <c:val>
            <c:numRef>
              <c:f>topten!$AP$101:$AP$110</c:f>
              <c:numCache>
                <c:formatCode>0.00%</c:formatCode>
                <c:ptCount val="10"/>
                <c:pt idx="0">
                  <c:v>-8.9989888776541904E-2</c:v>
                </c:pt>
                <c:pt idx="1">
                  <c:v>4.0367474827366134E-2</c:v>
                </c:pt>
                <c:pt idx="2">
                  <c:v>6.6122263808551462E-2</c:v>
                </c:pt>
                <c:pt idx="3">
                  <c:v>9.208240258128586E-2</c:v>
                </c:pt>
                <c:pt idx="4">
                  <c:v>9.2168353755993415E-2</c:v>
                </c:pt>
                <c:pt idx="5">
                  <c:v>0.58102766798418992</c:v>
                </c:pt>
                <c:pt idx="6">
                  <c:v>0.64371390493114178</c:v>
                </c:pt>
                <c:pt idx="7">
                  <c:v>0.72294968986905594</c:v>
                </c:pt>
                <c:pt idx="8">
                  <c:v>0.99630314232902051</c:v>
                </c:pt>
                <c:pt idx="9">
                  <c:v>1.3064687168610813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9F1-4C7D-8DD7-16528EFD7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89541432"/>
        <c:axId val="289537512"/>
        <c:axId val="0"/>
      </c:bar3DChart>
      <c:catAx>
        <c:axId val="28954143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89537512"/>
        <c:crosses val="autoZero"/>
        <c:auto val="1"/>
        <c:lblAlgn val="ctr"/>
        <c:lblOffset val="100"/>
        <c:noMultiLvlLbl val="0"/>
      </c:catAx>
      <c:valAx>
        <c:axId val="289537512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289541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Russia - %change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2016/15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(חיתוך!$AO$1,חיתוך!$AG$1,חיתוך!$Y$1,חיתוך!$Q$1,חיתוך!$I$1,חיתוך!$A$1,חיתוך!$AO$34)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(חיתוך!$AQ$5,חיתוך!$AM$4,חיתוך!$AE$5,חיתוך!$W$5,חיתוך!$O$4,חיתוך!$G$4,חיתוך!$AU$37)</c:f>
              <c:numCache>
                <c:formatCode>0.00%</c:formatCode>
                <c:ptCount val="7"/>
                <c:pt idx="0">
                  <c:v>6.8883610451306421E-2</c:v>
                </c:pt>
                <c:pt idx="1">
                  <c:v>-6.9767441860465018E-2</c:v>
                </c:pt>
                <c:pt idx="2">
                  <c:v>-0.1910112359550562</c:v>
                </c:pt>
                <c:pt idx="3">
                  <c:v>-6.2988027069234787E-2</c:v>
                </c:pt>
                <c:pt idx="4">
                  <c:v>-9.5022624434389136E-2</c:v>
                </c:pt>
                <c:pt idx="5">
                  <c:v>-5.374716124148371E-2</c:v>
                </c:pt>
                <c:pt idx="6">
                  <c:v>-0.23439340400471143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8-4004-BAF5-900F8F8382A3}"/>
            </c:ext>
          </c:extLst>
        </c:ser>
        <c:ser>
          <c:idx val="1"/>
          <c:order val="1"/>
          <c:tx>
            <c:v>2016/14</c:v>
          </c:tx>
          <c:invertIfNegative val="0"/>
          <c:cat>
            <c:strRef>
              <c:f>(חיתוך!$AO$1,חיתוך!$AG$1,חיתוך!$Y$1,חיתוך!$Q$1,חיתוך!$I$1,חיתוך!$A$1,חיתוך!$AO$34)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(חיתוך!$AO$4,חיתוך!$AK$5,חיתוך!$AC$5,חיתוך!$U$5,חיתוך!$K$4,חיתוך!$E$4,חיתוך!$AS$38)</c:f>
              <c:numCache>
                <c:formatCode>0.00%</c:formatCode>
                <c:ptCount val="7"/>
                <c:pt idx="0">
                  <c:v>-0.1435063800034958</c:v>
                </c:pt>
                <c:pt idx="1">
                  <c:v>1.114612237219581E-2</c:v>
                </c:pt>
                <c:pt idx="2">
                  <c:v>-0.22805839906024505</c:v>
                </c:pt>
                <c:pt idx="3">
                  <c:v>-0.12980420594633779</c:v>
                </c:pt>
                <c:pt idx="4">
                  <c:v>-4.0331993256386922E-2</c:v>
                </c:pt>
                <c:pt idx="5">
                  <c:v>-8.7497531108038706E-2</c:v>
                </c:pt>
                <c:pt idx="6">
                  <c:v>-0.18181579016600458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F8-4004-BAF5-900F8F838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394064"/>
        <c:axId val="319396808"/>
      </c:barChart>
      <c:catAx>
        <c:axId val="319394064"/>
        <c:scaling>
          <c:orientation val="maxMin"/>
        </c:scaling>
        <c:delete val="1"/>
        <c:axPos val="b"/>
        <c:numFmt formatCode="General" sourceLinked="0"/>
        <c:majorTickMark val="out"/>
        <c:minorTickMark val="none"/>
        <c:tickLblPos val="none"/>
        <c:crossAx val="319396808"/>
        <c:crosses val="autoZero"/>
        <c:auto val="1"/>
        <c:lblAlgn val="ctr"/>
        <c:lblOffset val="100"/>
        <c:noMultiLvlLbl val="0"/>
      </c:catAx>
      <c:valAx>
        <c:axId val="319396808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319394064"/>
        <c:crosses val="autoZero"/>
        <c:crossBetween val="between"/>
      </c:valAx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Brazil - %change</a:t>
            </a:r>
            <a:r>
              <a:rPr lang="en-US" baseline="0"/>
              <a:t> cumulative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2016/15</c:v>
          </c:tx>
          <c:invertIfNegative val="0"/>
          <c:cat>
            <c:strRef>
              <c:f>(חיתוך!$AO$1,חיתוך!$AG$1,חיתוך!$Y$1,חיתוך!$Q$1,חיתוך!$I$1,חיתוך!$A$1,חיתוך!$AO$34)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(חיתוך!$AQ$4,חיתוך!$AI$5,חיתוך!$AA$5,חיתוך!$S$4,חיתוך!$K$5,חיתוך!$C$5,חיתוך!$AQ$38)</c:f>
              <c:numCache>
                <c:formatCode>0.00%</c:formatCode>
                <c:ptCount val="7"/>
                <c:pt idx="0">
                  <c:v>5.0304035378662126E-2</c:v>
                </c:pt>
                <c:pt idx="1">
                  <c:v>4.0367474827366134E-2</c:v>
                </c:pt>
                <c:pt idx="2">
                  <c:v>-6.3046791217474807E-2</c:v>
                </c:pt>
                <c:pt idx="3">
                  <c:v>-0.24914675767918093</c:v>
                </c:pt>
                <c:pt idx="4">
                  <c:v>5.5694408176968579E-2</c:v>
                </c:pt>
                <c:pt idx="5">
                  <c:v>3.3402922755741082E-2</c:v>
                </c:pt>
                <c:pt idx="6">
                  <c:v>4.8752834467120199E-2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5-4DC6-A47C-A05A941CB954}"/>
            </c:ext>
          </c:extLst>
        </c:ser>
        <c:ser>
          <c:idx val="1"/>
          <c:order val="1"/>
          <c:tx>
            <c:v>2016/14</c:v>
          </c:tx>
          <c:invertIfNegative val="0"/>
          <c:val>
            <c:numRef>
              <c:f>(חיתוך!$AO$9,חיתוך!$AG$11,חיתוך!$Y$9,חיתוך!$Q$8,חיתוך!$I$5,חיתוך!$A$7,חיתוך!$AO$41)</c:f>
              <c:numCache>
                <c:formatCode>0.00%</c:formatCode>
                <c:ptCount val="7"/>
                <c:pt idx="0">
                  <c:v>0.11327900837828531</c:v>
                </c:pt>
                <c:pt idx="1">
                  <c:v>0.15127444572922433</c:v>
                </c:pt>
                <c:pt idx="2">
                  <c:v>5.2631578947368363E-2</c:v>
                </c:pt>
                <c:pt idx="3">
                  <c:v>9.431756177410433E-3</c:v>
                </c:pt>
                <c:pt idx="4">
                  <c:v>4.821671758253876E-3</c:v>
                </c:pt>
                <c:pt idx="5">
                  <c:v>-0.11115101454480159</c:v>
                </c:pt>
                <c:pt idx="6">
                  <c:v>-9.5913261050875831E-2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55-4DC6-A47C-A05A941CB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9392496"/>
        <c:axId val="319390536"/>
        <c:axId val="0"/>
      </c:bar3DChart>
      <c:catAx>
        <c:axId val="31939249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19390536"/>
        <c:crosses val="autoZero"/>
        <c:auto val="1"/>
        <c:lblAlgn val="ctr"/>
        <c:lblOffset val="100"/>
        <c:noMultiLvlLbl val="0"/>
      </c:catAx>
      <c:valAx>
        <c:axId val="319390536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319392496"/>
        <c:crosses val="autoZero"/>
        <c:crossBetween val="between"/>
      </c:valAx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/>
              <a:t>הכנסות מתיירים</a:t>
            </a:r>
            <a:r>
              <a:rPr lang="he-IL" baseline="0"/>
              <a:t> ינואר-מרץ 2017</a:t>
            </a:r>
          </a:p>
          <a:p>
            <a:pPr>
              <a:defRPr/>
            </a:pPr>
            <a:r>
              <a:rPr lang="he-IL" sz="1100" baseline="0"/>
              <a:t>(מליוני ש"ח)</a:t>
            </a:r>
            <a:endParaRPr lang="he-IL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'גרפים הכנסות'!$A$3:$C$3</c:f>
              <c:strCache>
                <c:ptCount val="3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</c:strCache>
            </c:strRef>
          </c:cat>
          <c:val>
            <c:numRef>
              <c:f>'גרפים הכנסות'!$A$4:$C$4</c:f>
              <c:numCache>
                <c:formatCode>#,##0</c:formatCode>
                <c:ptCount val="3"/>
                <c:pt idx="0">
                  <c:v>1194.64573</c:v>
                </c:pt>
                <c:pt idx="1">
                  <c:v>1275.1570650000001</c:v>
                </c:pt>
                <c:pt idx="2">
                  <c:v>1603.757075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D-4E86-872C-B783FC22A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9392888"/>
        <c:axId val="319395240"/>
      </c:barChart>
      <c:catAx>
        <c:axId val="3193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395240"/>
        <c:crosses val="autoZero"/>
        <c:auto val="1"/>
        <c:lblAlgn val="ctr"/>
        <c:lblOffset val="100"/>
        <c:noMultiLvlLbl val="0"/>
      </c:catAx>
      <c:valAx>
        <c:axId val="3193952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392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 שינוי מצטבר 2017/15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topten!$AO$111:$AO$120</c:f>
              <c:strCache>
                <c:ptCount val="10"/>
                <c:pt idx="0">
                  <c:v>RUSSIA</c:v>
                </c:pt>
                <c:pt idx="1">
                  <c:v>ITALY</c:v>
                </c:pt>
                <c:pt idx="2">
                  <c:v>FRANCE</c:v>
                </c:pt>
                <c:pt idx="3">
                  <c:v>BRAZIL</c:v>
                </c:pt>
                <c:pt idx="4">
                  <c:v>POLAND</c:v>
                </c:pt>
                <c:pt idx="5">
                  <c:v>GREECE</c:v>
                </c:pt>
                <c:pt idx="6">
                  <c:v>PHILIPPINES</c:v>
                </c:pt>
                <c:pt idx="7">
                  <c:v>      FINLAND</c:v>
                </c:pt>
                <c:pt idx="8">
                  <c:v>CHINA</c:v>
                </c:pt>
                <c:pt idx="9">
                  <c:v>LITHUANIA</c:v>
                </c:pt>
              </c:strCache>
            </c:strRef>
          </c:cat>
          <c:val>
            <c:numRef>
              <c:f>topten!$AO$101:$AO$110</c:f>
              <c:numCache>
                <c:formatCode>0.00%</c:formatCode>
                <c:ptCount val="10"/>
                <c:pt idx="0">
                  <c:v>1.7153477157997754E-2</c:v>
                </c:pt>
                <c:pt idx="1">
                  <c:v>3.3197831978319714E-2</c:v>
                </c:pt>
                <c:pt idx="2">
                  <c:v>6.3929071395240289E-2</c:v>
                </c:pt>
                <c:pt idx="3">
                  <c:v>8.2251082251082241E-2</c:v>
                </c:pt>
                <c:pt idx="4">
                  <c:v>0.13392583512105438</c:v>
                </c:pt>
                <c:pt idx="5">
                  <c:v>0.86116700201207252</c:v>
                </c:pt>
                <c:pt idx="6">
                  <c:v>0.86190845616757183</c:v>
                </c:pt>
                <c:pt idx="7">
                  <c:v>1.0689655172413794</c:v>
                </c:pt>
                <c:pt idx="8">
                  <c:v>1.5935310776568787</c:v>
                </c:pt>
                <c:pt idx="9">
                  <c:v>1.6372059871703493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CB7-46A1-81CF-8D10D9D83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89536336"/>
        <c:axId val="289538296"/>
        <c:axId val="0"/>
      </c:bar3DChart>
      <c:catAx>
        <c:axId val="28953633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89538296"/>
        <c:crosses val="autoZero"/>
        <c:auto val="1"/>
        <c:lblAlgn val="ctr"/>
        <c:lblOffset val="100"/>
        <c:noMultiLvlLbl val="0"/>
      </c:catAx>
      <c:valAx>
        <c:axId val="289538296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289536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 שינוי חודשי 2017/16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topten!$AR$111:$AR$120</c:f>
              <c:strCache>
                <c:ptCount val="10"/>
                <c:pt idx="0">
                  <c:v>      DENMARK</c:v>
                </c:pt>
                <c:pt idx="1">
                  <c:v>HUNGARY</c:v>
                </c:pt>
                <c:pt idx="2">
                  <c:v>LITHUANIA</c:v>
                </c:pt>
                <c:pt idx="3">
                  <c:v>INDIA</c:v>
                </c:pt>
                <c:pt idx="4">
                  <c:v>BELGIUM</c:v>
                </c:pt>
                <c:pt idx="5">
                  <c:v>RUSSIA</c:v>
                </c:pt>
                <c:pt idx="6">
                  <c:v>TOTAL CIS</c:v>
                </c:pt>
                <c:pt idx="7">
                  <c:v>UNITED STATES</c:v>
                </c:pt>
                <c:pt idx="8">
                  <c:v>AMERICA</c:v>
                </c:pt>
                <c:pt idx="9">
                  <c:v>EUROPE</c:v>
                </c:pt>
              </c:strCache>
            </c:strRef>
          </c:cat>
          <c:val>
            <c:numRef>
              <c:f>topten!$AR$101:$AR$110</c:f>
              <c:numCache>
                <c:formatCode>_(* #,##0.00_);_(* \(#,##0.00\);_(* "-"??_);_(@_)</c:formatCode>
                <c:ptCount val="10"/>
                <c:pt idx="0">
                  <c:v>2.7</c:v>
                </c:pt>
                <c:pt idx="1">
                  <c:v>3.2</c:v>
                </c:pt>
                <c:pt idx="2">
                  <c:v>3.7</c:v>
                </c:pt>
                <c:pt idx="3">
                  <c:v>4.2</c:v>
                </c:pt>
                <c:pt idx="4">
                  <c:v>4.4000000000000004</c:v>
                </c:pt>
                <c:pt idx="5">
                  <c:v>40.5</c:v>
                </c:pt>
                <c:pt idx="6">
                  <c:v>64.3</c:v>
                </c:pt>
                <c:pt idx="7">
                  <c:v>97.7</c:v>
                </c:pt>
                <c:pt idx="8">
                  <c:v>129.30000000000001</c:v>
                </c:pt>
                <c:pt idx="9">
                  <c:v>244.6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3D0-424F-96E1-F20DF473D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89536728"/>
        <c:axId val="289535552"/>
        <c:axId val="0"/>
      </c:bar3DChart>
      <c:catAx>
        <c:axId val="28953672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89535552"/>
        <c:crosses val="autoZero"/>
        <c:auto val="1"/>
        <c:lblAlgn val="ctr"/>
        <c:lblOffset val="100"/>
        <c:noMultiLvlLbl val="0"/>
      </c:catAx>
      <c:valAx>
        <c:axId val="289535552"/>
        <c:scaling>
          <c:orientation val="minMax"/>
        </c:scaling>
        <c:delete val="0"/>
        <c:axPos val="r"/>
        <c:majorGridlines/>
        <c:numFmt formatCode="_(* #,##0.00_);_(* \(#,##0.00\);_(* &quot;-&quot;??_);_(@_)" sourceLinked="1"/>
        <c:majorTickMark val="out"/>
        <c:minorTickMark val="none"/>
        <c:tickLblPos val="nextTo"/>
        <c:crossAx val="289536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 שינוי חודשי 2017/15 מדינות</a:t>
            </a:r>
            <a:r>
              <a:rPr lang="he-IL" baseline="0"/>
              <a:t>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2017/15</c:v>
          </c:tx>
          <c:spPr>
            <a:solidFill>
              <a:srgbClr val="17375E"/>
            </a:solidFill>
          </c:spPr>
          <c:invertIfNegative val="1"/>
          <c:cat>
            <c:strRef>
              <c:f>topten!$AQ$111:$AQ$120</c:f>
              <c:strCache>
                <c:ptCount val="10"/>
                <c:pt idx="0">
                  <c:v>POLAND</c:v>
                </c:pt>
                <c:pt idx="1">
                  <c:v>FRANCE</c:v>
                </c:pt>
                <c:pt idx="2">
                  <c:v>ITALY</c:v>
                </c:pt>
                <c:pt idx="3">
                  <c:v>      DENMARK</c:v>
                </c:pt>
                <c:pt idx="4">
                  <c:v>CANADA</c:v>
                </c:pt>
                <c:pt idx="5">
                  <c:v>TURKEY</c:v>
                </c:pt>
                <c:pt idx="6">
                  <c:v>ROMANIA</c:v>
                </c:pt>
                <c:pt idx="7">
                  <c:v>KOREA</c:v>
                </c:pt>
                <c:pt idx="8">
                  <c:v>PHILIPPINES</c:v>
                </c:pt>
                <c:pt idx="9">
                  <c:v>LITHUANIA</c:v>
                </c:pt>
              </c:strCache>
            </c:strRef>
          </c:cat>
          <c:val>
            <c:numRef>
              <c:f>topten!$AQ$101:$AQ$110</c:f>
              <c:numCache>
                <c:formatCode>0.00%</c:formatCode>
                <c:ptCount val="10"/>
                <c:pt idx="0">
                  <c:v>-8.7127339958400718E-2</c:v>
                </c:pt>
                <c:pt idx="1">
                  <c:v>1.114612237219581E-2</c:v>
                </c:pt>
                <c:pt idx="2">
                  <c:v>2.3108131945669408E-2</c:v>
                </c:pt>
                <c:pt idx="3">
                  <c:v>8.3276912660798841E-2</c:v>
                </c:pt>
                <c:pt idx="4">
                  <c:v>0.11168562564632878</c:v>
                </c:pt>
                <c:pt idx="5">
                  <c:v>0.82965299684542582</c:v>
                </c:pt>
                <c:pt idx="6">
                  <c:v>1.0062942564909521</c:v>
                </c:pt>
                <c:pt idx="7">
                  <c:v>1.0241339042428961</c:v>
                </c:pt>
                <c:pt idx="8">
                  <c:v>1.2222222222222223</c:v>
                </c:pt>
                <c:pt idx="9">
                  <c:v>1.4676850763807288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14C-493A-90E6-874775600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89537904"/>
        <c:axId val="289539472"/>
        <c:axId val="0"/>
      </c:bar3DChart>
      <c:catAx>
        <c:axId val="28953790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89539472"/>
        <c:crosses val="autoZero"/>
        <c:auto val="1"/>
        <c:lblAlgn val="ctr"/>
        <c:lblOffset val="100"/>
        <c:noMultiLvlLbl val="0"/>
      </c:catAx>
      <c:valAx>
        <c:axId val="289539472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289537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אחוז שינוי</a:t>
            </a:r>
            <a:r>
              <a:rPr lang="he-IL" baseline="0"/>
              <a:t> מצטבר 2017/16 מדינות בולטות</a:t>
            </a:r>
            <a:endParaRPr lang="en-US"/>
          </a:p>
        </c:rich>
      </c:tx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%change 2016/15</c:v>
          </c:tx>
          <c:spPr>
            <a:solidFill>
              <a:srgbClr val="17375E"/>
            </a:solidFill>
          </c:spPr>
          <c:invertIfNegative val="1"/>
          <c:cat>
            <c:strRef>
              <c:f>topten!$AN$111:$AN$120</c:f>
              <c:strCache>
                <c:ptCount val="10"/>
                <c:pt idx="0">
                  <c:v>      DENMARK</c:v>
                </c:pt>
                <c:pt idx="1">
                  <c:v>NORDIC COUNTRIES</c:v>
                </c:pt>
                <c:pt idx="2">
                  <c:v>BELGIUM</c:v>
                </c:pt>
                <c:pt idx="3">
                  <c:v>      FINLAND</c:v>
                </c:pt>
                <c:pt idx="4">
                  <c:v>      SWEDEN</c:v>
                </c:pt>
                <c:pt idx="5">
                  <c:v>CZECH REP.</c:v>
                </c:pt>
                <c:pt idx="6">
                  <c:v>KOREA</c:v>
                </c:pt>
                <c:pt idx="7">
                  <c:v>INDONESIA</c:v>
                </c:pt>
                <c:pt idx="8">
                  <c:v>CHINA</c:v>
                </c:pt>
                <c:pt idx="9">
                  <c:v>SLOVAKIA</c:v>
                </c:pt>
              </c:strCache>
            </c:strRef>
          </c:cat>
          <c:val>
            <c:numRef>
              <c:f>topten!$AL$101:$AL$110</c:f>
              <c:numCache>
                <c:formatCode>0.00%</c:formatCode>
                <c:ptCount val="10"/>
                <c:pt idx="0">
                  <c:v>-0.21192393352749705</c:v>
                </c:pt>
                <c:pt idx="1">
                  <c:v>-6.3046791217474807E-2</c:v>
                </c:pt>
                <c:pt idx="2">
                  <c:v>-1.0740531373657491E-2</c:v>
                </c:pt>
                <c:pt idx="3">
                  <c:v>3.3421284080914715E-2</c:v>
                </c:pt>
                <c:pt idx="4">
                  <c:v>3.89036251105217E-2</c:v>
                </c:pt>
                <c:pt idx="5">
                  <c:v>0.64041994750656173</c:v>
                </c:pt>
                <c:pt idx="6">
                  <c:v>0.71121251629726223</c:v>
                </c:pt>
                <c:pt idx="7">
                  <c:v>1.1154535675869486</c:v>
                </c:pt>
                <c:pt idx="8">
                  <c:v>1.306615042425241</c:v>
                </c:pt>
                <c:pt idx="9">
                  <c:v>1.350427350427351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B75-4FBC-839C-26C143E4B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89540648"/>
        <c:axId val="289534768"/>
        <c:axId val="0"/>
      </c:bar3DChart>
      <c:catAx>
        <c:axId val="28954064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89534768"/>
        <c:crosses val="autoZero"/>
        <c:auto val="1"/>
        <c:lblAlgn val="ctr"/>
        <c:lblOffset val="100"/>
        <c:noMultiLvlLbl val="0"/>
      </c:catAx>
      <c:valAx>
        <c:axId val="289534768"/>
        <c:scaling>
          <c:orientation val="minMax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crossAx val="289540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281828</xdr:colOff>
      <xdr:row>2</xdr:row>
      <xdr:rowOff>142875</xdr:rowOff>
    </xdr:from>
    <xdr:to>
      <xdr:col>14</xdr:col>
      <xdr:colOff>333375</xdr:colOff>
      <xdr:row>23</xdr:row>
      <xdr:rowOff>34310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268941</xdr:colOff>
      <xdr:row>25</xdr:row>
      <xdr:rowOff>561</xdr:rowOff>
    </xdr:from>
    <xdr:to>
      <xdr:col>14</xdr:col>
      <xdr:colOff>320488</xdr:colOff>
      <xdr:row>45</xdr:row>
      <xdr:rowOff>67237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209550</xdr:colOff>
      <xdr:row>37</xdr:row>
      <xdr:rowOff>7284</xdr:rowOff>
    </xdr:from>
    <xdr:to>
      <xdr:col>17</xdr:col>
      <xdr:colOff>651062</xdr:colOff>
      <xdr:row>53</xdr:row>
      <xdr:rowOff>79002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219075</xdr:colOff>
      <xdr:row>55</xdr:row>
      <xdr:rowOff>59392</xdr:rowOff>
    </xdr:from>
    <xdr:to>
      <xdr:col>17</xdr:col>
      <xdr:colOff>660587</xdr:colOff>
      <xdr:row>71</xdr:row>
      <xdr:rowOff>126067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190500</xdr:colOff>
      <xdr:row>2</xdr:row>
      <xdr:rowOff>9525</xdr:rowOff>
    </xdr:from>
    <xdr:to>
      <xdr:col>17</xdr:col>
      <xdr:colOff>632012</xdr:colOff>
      <xdr:row>18</xdr:row>
      <xdr:rowOff>62193</xdr:rowOff>
    </xdr:to>
    <xdr:graphicFrame macro="">
      <xdr:nvGraphicFramePr>
        <xdr:cNvPr id="4" name="תרשים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200025</xdr:colOff>
      <xdr:row>20</xdr:row>
      <xdr:rowOff>42583</xdr:rowOff>
    </xdr:from>
    <xdr:to>
      <xdr:col>17</xdr:col>
      <xdr:colOff>641537</xdr:colOff>
      <xdr:row>36</xdr:row>
      <xdr:rowOff>109258</xdr:rowOff>
    </xdr:to>
    <xdr:graphicFrame macro="">
      <xdr:nvGraphicFramePr>
        <xdr:cNvPr id="5" name="תרשים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36</xdr:row>
      <xdr:rowOff>150159</xdr:rowOff>
    </xdr:from>
    <xdr:to>
      <xdr:col>17</xdr:col>
      <xdr:colOff>593912</xdr:colOff>
      <xdr:row>53</xdr:row>
      <xdr:rowOff>59952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161925</xdr:colOff>
      <xdr:row>55</xdr:row>
      <xdr:rowOff>40342</xdr:rowOff>
    </xdr:from>
    <xdr:to>
      <xdr:col>17</xdr:col>
      <xdr:colOff>603437</xdr:colOff>
      <xdr:row>71</xdr:row>
      <xdr:rowOff>107017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133350</xdr:colOff>
      <xdr:row>1</xdr:row>
      <xdr:rowOff>161925</xdr:rowOff>
    </xdr:from>
    <xdr:to>
      <xdr:col>17</xdr:col>
      <xdr:colOff>574862</xdr:colOff>
      <xdr:row>18</xdr:row>
      <xdr:rowOff>43143</xdr:rowOff>
    </xdr:to>
    <xdr:graphicFrame macro="">
      <xdr:nvGraphicFramePr>
        <xdr:cNvPr id="4" name="תרשים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142875</xdr:colOff>
      <xdr:row>20</xdr:row>
      <xdr:rowOff>23533</xdr:rowOff>
    </xdr:from>
    <xdr:to>
      <xdr:col>17</xdr:col>
      <xdr:colOff>584387</xdr:colOff>
      <xdr:row>36</xdr:row>
      <xdr:rowOff>90208</xdr:rowOff>
    </xdr:to>
    <xdr:graphicFrame macro="">
      <xdr:nvGraphicFramePr>
        <xdr:cNvPr id="5" name="תרשים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36</xdr:row>
      <xdr:rowOff>159684</xdr:rowOff>
    </xdr:from>
    <xdr:to>
      <xdr:col>17</xdr:col>
      <xdr:colOff>622487</xdr:colOff>
      <xdr:row>53</xdr:row>
      <xdr:rowOff>69477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55</xdr:row>
      <xdr:rowOff>49867</xdr:rowOff>
    </xdr:from>
    <xdr:to>
      <xdr:col>17</xdr:col>
      <xdr:colOff>632012</xdr:colOff>
      <xdr:row>71</xdr:row>
      <xdr:rowOff>116542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161925</xdr:colOff>
      <xdr:row>2</xdr:row>
      <xdr:rowOff>0</xdr:rowOff>
    </xdr:from>
    <xdr:to>
      <xdr:col>17</xdr:col>
      <xdr:colOff>603437</xdr:colOff>
      <xdr:row>18</xdr:row>
      <xdr:rowOff>52668</xdr:rowOff>
    </xdr:to>
    <xdr:graphicFrame macro="">
      <xdr:nvGraphicFramePr>
        <xdr:cNvPr id="4" name="תרשים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171450</xdr:colOff>
      <xdr:row>20</xdr:row>
      <xdr:rowOff>33058</xdr:rowOff>
    </xdr:from>
    <xdr:to>
      <xdr:col>17</xdr:col>
      <xdr:colOff>612962</xdr:colOff>
      <xdr:row>36</xdr:row>
      <xdr:rowOff>99733</xdr:rowOff>
    </xdr:to>
    <xdr:graphicFrame macro="">
      <xdr:nvGraphicFramePr>
        <xdr:cNvPr id="5" name="תרשים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304800</xdr:colOff>
      <xdr:row>34</xdr:row>
      <xdr:rowOff>133350</xdr:rowOff>
    </xdr:from>
    <xdr:to>
      <xdr:col>56</xdr:col>
      <xdr:colOff>238125</xdr:colOff>
      <xdr:row>50</xdr:row>
      <xdr:rowOff>142874</xdr:rowOff>
    </xdr:to>
    <xdr:graphicFrame macro="">
      <xdr:nvGraphicFramePr>
        <xdr:cNvPr id="4" name="תרשים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47625</xdr:colOff>
      <xdr:row>16</xdr:row>
      <xdr:rowOff>76200</xdr:rowOff>
    </xdr:from>
    <xdr:to>
      <xdr:col>44</xdr:col>
      <xdr:colOff>114300</xdr:colOff>
      <xdr:row>31</xdr:row>
      <xdr:rowOff>104775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44</xdr:col>
      <xdr:colOff>600075</xdr:colOff>
      <xdr:row>16</xdr:row>
      <xdr:rowOff>114300</xdr:rowOff>
    </xdr:from>
    <xdr:to>
      <xdr:col>51</xdr:col>
      <xdr:colOff>371475</xdr:colOff>
      <xdr:row>31</xdr:row>
      <xdr:rowOff>142875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7</xdr:row>
      <xdr:rowOff>95250</xdr:rowOff>
    </xdr:from>
    <xdr:to>
      <xdr:col>11</xdr:col>
      <xdr:colOff>219075</xdr:colOff>
      <xdr:row>26</xdr:row>
      <xdr:rowOff>0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581025</xdr:colOff>
      <xdr:row>1</xdr:row>
      <xdr:rowOff>142875</xdr:rowOff>
    </xdr:from>
    <xdr:to>
      <xdr:col>18</xdr:col>
      <xdr:colOff>336737</xdr:colOff>
      <xdr:row>18</xdr:row>
      <xdr:rowOff>22412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590550</xdr:colOff>
      <xdr:row>19</xdr:row>
      <xdr:rowOff>26894</xdr:rowOff>
    </xdr:from>
    <xdr:to>
      <xdr:col>18</xdr:col>
      <xdr:colOff>346262</xdr:colOff>
      <xdr:row>35</xdr:row>
      <xdr:rowOff>93569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609600</xdr:colOff>
      <xdr:row>36</xdr:row>
      <xdr:rowOff>159684</xdr:rowOff>
    </xdr:from>
    <xdr:to>
      <xdr:col>18</xdr:col>
      <xdr:colOff>365312</xdr:colOff>
      <xdr:row>53</xdr:row>
      <xdr:rowOff>69477</xdr:rowOff>
    </xdr:to>
    <xdr:graphicFrame macro="">
      <xdr:nvGraphicFramePr>
        <xdr:cNvPr id="4" name="תרשים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619125</xdr:colOff>
      <xdr:row>55</xdr:row>
      <xdr:rowOff>49867</xdr:rowOff>
    </xdr:from>
    <xdr:to>
      <xdr:col>18</xdr:col>
      <xdr:colOff>374837</xdr:colOff>
      <xdr:row>71</xdr:row>
      <xdr:rowOff>116542</xdr:rowOff>
    </xdr:to>
    <xdr:graphicFrame macro="">
      <xdr:nvGraphicFramePr>
        <xdr:cNvPr id="5" name="תרשים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581025</xdr:colOff>
      <xdr:row>1</xdr:row>
      <xdr:rowOff>142875</xdr:rowOff>
    </xdr:from>
    <xdr:to>
      <xdr:col>18</xdr:col>
      <xdr:colOff>336737</xdr:colOff>
      <xdr:row>18</xdr:row>
      <xdr:rowOff>24093</xdr:rowOff>
    </xdr:to>
    <xdr:graphicFrame macro="">
      <xdr:nvGraphicFramePr>
        <xdr:cNvPr id="6" name="תרשים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619125</xdr:colOff>
      <xdr:row>19</xdr:row>
      <xdr:rowOff>147358</xdr:rowOff>
    </xdr:from>
    <xdr:to>
      <xdr:col>18</xdr:col>
      <xdr:colOff>374837</xdr:colOff>
      <xdr:row>36</xdr:row>
      <xdr:rowOff>52108</xdr:rowOff>
    </xdr:to>
    <xdr:graphicFrame macro="">
      <xdr:nvGraphicFramePr>
        <xdr:cNvPr id="7" name="תרשים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36</xdr:row>
      <xdr:rowOff>159684</xdr:rowOff>
    </xdr:from>
    <xdr:to>
      <xdr:col>17</xdr:col>
      <xdr:colOff>679637</xdr:colOff>
      <xdr:row>53</xdr:row>
      <xdr:rowOff>69477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247650</xdr:colOff>
      <xdr:row>55</xdr:row>
      <xdr:rowOff>49867</xdr:rowOff>
    </xdr:from>
    <xdr:to>
      <xdr:col>18</xdr:col>
      <xdr:colOff>3362</xdr:colOff>
      <xdr:row>71</xdr:row>
      <xdr:rowOff>116542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219075</xdr:colOff>
      <xdr:row>2</xdr:row>
      <xdr:rowOff>0</xdr:rowOff>
    </xdr:from>
    <xdr:to>
      <xdr:col>17</xdr:col>
      <xdr:colOff>660587</xdr:colOff>
      <xdr:row>18</xdr:row>
      <xdr:rowOff>52668</xdr:rowOff>
    </xdr:to>
    <xdr:graphicFrame macro="">
      <xdr:nvGraphicFramePr>
        <xdr:cNvPr id="4" name="תרשים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228600</xdr:colOff>
      <xdr:row>20</xdr:row>
      <xdr:rowOff>33058</xdr:rowOff>
    </xdr:from>
    <xdr:to>
      <xdr:col>17</xdr:col>
      <xdr:colOff>670112</xdr:colOff>
      <xdr:row>36</xdr:row>
      <xdr:rowOff>99733</xdr:rowOff>
    </xdr:to>
    <xdr:graphicFrame macro="">
      <xdr:nvGraphicFramePr>
        <xdr:cNvPr id="5" name="תרשים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36</xdr:row>
      <xdr:rowOff>150159</xdr:rowOff>
    </xdr:from>
    <xdr:to>
      <xdr:col>18</xdr:col>
      <xdr:colOff>22412</xdr:colOff>
      <xdr:row>53</xdr:row>
      <xdr:rowOff>59952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276225</xdr:colOff>
      <xdr:row>55</xdr:row>
      <xdr:rowOff>40342</xdr:rowOff>
    </xdr:from>
    <xdr:to>
      <xdr:col>18</xdr:col>
      <xdr:colOff>31937</xdr:colOff>
      <xdr:row>71</xdr:row>
      <xdr:rowOff>107017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247650</xdr:colOff>
      <xdr:row>1</xdr:row>
      <xdr:rowOff>161925</xdr:rowOff>
    </xdr:from>
    <xdr:to>
      <xdr:col>18</xdr:col>
      <xdr:colOff>3362</xdr:colOff>
      <xdr:row>18</xdr:row>
      <xdr:rowOff>43143</xdr:rowOff>
    </xdr:to>
    <xdr:graphicFrame macro="">
      <xdr:nvGraphicFramePr>
        <xdr:cNvPr id="4" name="תרשים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257175</xdr:colOff>
      <xdr:row>20</xdr:row>
      <xdr:rowOff>23533</xdr:rowOff>
    </xdr:from>
    <xdr:to>
      <xdr:col>18</xdr:col>
      <xdr:colOff>12887</xdr:colOff>
      <xdr:row>36</xdr:row>
      <xdr:rowOff>90208</xdr:rowOff>
    </xdr:to>
    <xdr:graphicFrame macro="">
      <xdr:nvGraphicFramePr>
        <xdr:cNvPr id="5" name="תרשים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36</xdr:row>
      <xdr:rowOff>140634</xdr:rowOff>
    </xdr:from>
    <xdr:to>
      <xdr:col>18</xdr:col>
      <xdr:colOff>108137</xdr:colOff>
      <xdr:row>53</xdr:row>
      <xdr:rowOff>50427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361950</xdr:colOff>
      <xdr:row>55</xdr:row>
      <xdr:rowOff>30817</xdr:rowOff>
    </xdr:from>
    <xdr:to>
      <xdr:col>18</xdr:col>
      <xdr:colOff>117662</xdr:colOff>
      <xdr:row>71</xdr:row>
      <xdr:rowOff>97492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1</xdr:row>
      <xdr:rowOff>152400</xdr:rowOff>
    </xdr:from>
    <xdr:to>
      <xdr:col>18</xdr:col>
      <xdr:colOff>89087</xdr:colOff>
      <xdr:row>18</xdr:row>
      <xdr:rowOff>33618</xdr:rowOff>
    </xdr:to>
    <xdr:graphicFrame macro="">
      <xdr:nvGraphicFramePr>
        <xdr:cNvPr id="4" name="תרשים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342900</xdr:colOff>
      <xdr:row>20</xdr:row>
      <xdr:rowOff>14008</xdr:rowOff>
    </xdr:from>
    <xdr:to>
      <xdr:col>18</xdr:col>
      <xdr:colOff>98612</xdr:colOff>
      <xdr:row>36</xdr:row>
      <xdr:rowOff>80683</xdr:rowOff>
    </xdr:to>
    <xdr:graphicFrame macro="">
      <xdr:nvGraphicFramePr>
        <xdr:cNvPr id="5" name="תרשים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276225</xdr:colOff>
      <xdr:row>36</xdr:row>
      <xdr:rowOff>140634</xdr:rowOff>
    </xdr:from>
    <xdr:to>
      <xdr:col>18</xdr:col>
      <xdr:colOff>31937</xdr:colOff>
      <xdr:row>53</xdr:row>
      <xdr:rowOff>50427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285750</xdr:colOff>
      <xdr:row>55</xdr:row>
      <xdr:rowOff>30817</xdr:rowOff>
    </xdr:from>
    <xdr:to>
      <xdr:col>18</xdr:col>
      <xdr:colOff>41462</xdr:colOff>
      <xdr:row>71</xdr:row>
      <xdr:rowOff>97492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257175</xdr:colOff>
      <xdr:row>1</xdr:row>
      <xdr:rowOff>152400</xdr:rowOff>
    </xdr:from>
    <xdr:to>
      <xdr:col>18</xdr:col>
      <xdr:colOff>12887</xdr:colOff>
      <xdr:row>18</xdr:row>
      <xdr:rowOff>33618</xdr:rowOff>
    </xdr:to>
    <xdr:graphicFrame macro="">
      <xdr:nvGraphicFramePr>
        <xdr:cNvPr id="4" name="תרשים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266700</xdr:colOff>
      <xdr:row>20</xdr:row>
      <xdr:rowOff>14008</xdr:rowOff>
    </xdr:from>
    <xdr:to>
      <xdr:col>18</xdr:col>
      <xdr:colOff>22412</xdr:colOff>
      <xdr:row>36</xdr:row>
      <xdr:rowOff>80683</xdr:rowOff>
    </xdr:to>
    <xdr:graphicFrame macro="">
      <xdr:nvGraphicFramePr>
        <xdr:cNvPr id="5" name="תרשים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36</xdr:row>
      <xdr:rowOff>150159</xdr:rowOff>
    </xdr:from>
    <xdr:to>
      <xdr:col>18</xdr:col>
      <xdr:colOff>12887</xdr:colOff>
      <xdr:row>53</xdr:row>
      <xdr:rowOff>59952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55</xdr:row>
      <xdr:rowOff>40342</xdr:rowOff>
    </xdr:from>
    <xdr:to>
      <xdr:col>18</xdr:col>
      <xdr:colOff>22412</xdr:colOff>
      <xdr:row>71</xdr:row>
      <xdr:rowOff>107017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238125</xdr:colOff>
      <xdr:row>1</xdr:row>
      <xdr:rowOff>161925</xdr:rowOff>
    </xdr:from>
    <xdr:to>
      <xdr:col>17</xdr:col>
      <xdr:colOff>679637</xdr:colOff>
      <xdr:row>18</xdr:row>
      <xdr:rowOff>43143</xdr:rowOff>
    </xdr:to>
    <xdr:graphicFrame macro="">
      <xdr:nvGraphicFramePr>
        <xdr:cNvPr id="4" name="תרשים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247650</xdr:colOff>
      <xdr:row>20</xdr:row>
      <xdr:rowOff>23533</xdr:rowOff>
    </xdr:from>
    <xdr:to>
      <xdr:col>18</xdr:col>
      <xdr:colOff>3362</xdr:colOff>
      <xdr:row>36</xdr:row>
      <xdr:rowOff>90208</xdr:rowOff>
    </xdr:to>
    <xdr:graphicFrame macro="">
      <xdr:nvGraphicFramePr>
        <xdr:cNvPr id="5" name="תרשים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314325</xdr:colOff>
      <xdr:row>36</xdr:row>
      <xdr:rowOff>131109</xdr:rowOff>
    </xdr:from>
    <xdr:to>
      <xdr:col>18</xdr:col>
      <xdr:colOff>70037</xdr:colOff>
      <xdr:row>53</xdr:row>
      <xdr:rowOff>40902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323850</xdr:colOff>
      <xdr:row>55</xdr:row>
      <xdr:rowOff>21292</xdr:rowOff>
    </xdr:from>
    <xdr:to>
      <xdr:col>18</xdr:col>
      <xdr:colOff>79562</xdr:colOff>
      <xdr:row>71</xdr:row>
      <xdr:rowOff>87967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1</xdr:row>
      <xdr:rowOff>142875</xdr:rowOff>
    </xdr:from>
    <xdr:to>
      <xdr:col>18</xdr:col>
      <xdr:colOff>50987</xdr:colOff>
      <xdr:row>18</xdr:row>
      <xdr:rowOff>24093</xdr:rowOff>
    </xdr:to>
    <xdr:graphicFrame macro="">
      <xdr:nvGraphicFramePr>
        <xdr:cNvPr id="4" name="תרשים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304800</xdr:colOff>
      <xdr:row>20</xdr:row>
      <xdr:rowOff>4483</xdr:rowOff>
    </xdr:from>
    <xdr:to>
      <xdr:col>18</xdr:col>
      <xdr:colOff>60512</xdr:colOff>
      <xdr:row>36</xdr:row>
      <xdr:rowOff>71158</xdr:rowOff>
    </xdr:to>
    <xdr:graphicFrame macro="">
      <xdr:nvGraphicFramePr>
        <xdr:cNvPr id="5" name="תרשים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37</xdr:row>
      <xdr:rowOff>7284</xdr:rowOff>
    </xdr:from>
    <xdr:to>
      <xdr:col>18</xdr:col>
      <xdr:colOff>3362</xdr:colOff>
      <xdr:row>53</xdr:row>
      <xdr:rowOff>79002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257175</xdr:colOff>
      <xdr:row>55</xdr:row>
      <xdr:rowOff>59392</xdr:rowOff>
    </xdr:from>
    <xdr:to>
      <xdr:col>18</xdr:col>
      <xdr:colOff>12887</xdr:colOff>
      <xdr:row>71</xdr:row>
      <xdr:rowOff>126067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228600</xdr:colOff>
      <xdr:row>2</xdr:row>
      <xdr:rowOff>9525</xdr:rowOff>
    </xdr:from>
    <xdr:to>
      <xdr:col>17</xdr:col>
      <xdr:colOff>670112</xdr:colOff>
      <xdr:row>18</xdr:row>
      <xdr:rowOff>62193</xdr:rowOff>
    </xdr:to>
    <xdr:graphicFrame macro="">
      <xdr:nvGraphicFramePr>
        <xdr:cNvPr id="4" name="תרשים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238125</xdr:colOff>
      <xdr:row>20</xdr:row>
      <xdr:rowOff>42583</xdr:rowOff>
    </xdr:from>
    <xdr:to>
      <xdr:col>17</xdr:col>
      <xdr:colOff>679637</xdr:colOff>
      <xdr:row>36</xdr:row>
      <xdr:rowOff>109258</xdr:rowOff>
    </xdr:to>
    <xdr:graphicFrame macro="">
      <xdr:nvGraphicFramePr>
        <xdr:cNvPr id="5" name="תרשים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3"/>
  <sheetViews>
    <sheetView workbookViewId="0">
      <selection activeCell="A8" sqref="A8:XFD8"/>
    </sheetView>
  </sheetViews>
  <sheetFormatPr defaultRowHeight="15"/>
  <cols>
    <col min="1" max="1" width="17.7109375" bestFit="1" customWidth="1"/>
    <col min="2" max="2" width="14" customWidth="1"/>
  </cols>
  <sheetData>
    <row r="1" spans="1:4">
      <c r="A1">
        <f>COUNTIF(C2:C102,"OK")</f>
        <v>84</v>
      </c>
      <c r="B1" t="s">
        <v>213</v>
      </c>
      <c r="C1" s="154" t="str">
        <f>IF(COUNTIF(C2:C102,"OK")&lt;&gt;85,"ERROR","ALL OK")</f>
        <v>ERROR</v>
      </c>
    </row>
    <row r="2" spans="1:4">
      <c r="A2" s="144" t="s">
        <v>131</v>
      </c>
      <c r="B2" s="144" t="s">
        <v>131</v>
      </c>
      <c r="C2" t="str">
        <f>IF(A2&lt;&gt;B2,"ERROR","OK")</f>
        <v>OK</v>
      </c>
      <c r="D2" s="155"/>
    </row>
    <row r="3" spans="1:4" s="160" customFormat="1">
      <c r="A3" s="159" t="s">
        <v>132</v>
      </c>
      <c r="B3" s="159" t="s">
        <v>132</v>
      </c>
      <c r="C3" s="160" t="str">
        <f t="shared" ref="C3:C48" si="0">IF(A3&lt;&gt;B3,"ERROR","OK")</f>
        <v>OK</v>
      </c>
      <c r="D3" s="161"/>
    </row>
    <row r="4" spans="1:4" s="160" customFormat="1">
      <c r="A4" s="162" t="s">
        <v>133</v>
      </c>
      <c r="B4" s="162" t="s">
        <v>133</v>
      </c>
      <c r="C4" s="160" t="str">
        <f t="shared" si="0"/>
        <v>OK</v>
      </c>
      <c r="D4" s="163"/>
    </row>
    <row r="5" spans="1:4" s="160" customFormat="1">
      <c r="A5" s="162" t="s">
        <v>134</v>
      </c>
      <c r="B5" s="162" t="s">
        <v>134</v>
      </c>
      <c r="C5" s="160" t="str">
        <f t="shared" si="0"/>
        <v>OK</v>
      </c>
      <c r="D5" s="163"/>
    </row>
    <row r="6" spans="1:4" s="160" customFormat="1">
      <c r="A6" s="162" t="s">
        <v>135</v>
      </c>
      <c r="B6" s="162" t="s">
        <v>135</v>
      </c>
      <c r="C6" s="160" t="str">
        <f t="shared" si="0"/>
        <v>OK</v>
      </c>
      <c r="D6" s="163"/>
    </row>
    <row r="7" spans="1:4" s="160" customFormat="1">
      <c r="A7" s="162" t="s">
        <v>136</v>
      </c>
      <c r="B7" s="162" t="s">
        <v>136</v>
      </c>
      <c r="C7" s="160" t="str">
        <f t="shared" si="0"/>
        <v>OK</v>
      </c>
      <c r="D7" s="163"/>
    </row>
    <row r="8" spans="1:4">
      <c r="A8" s="146" t="s">
        <v>137</v>
      </c>
      <c r="B8" s="146" t="s">
        <v>137</v>
      </c>
      <c r="C8" t="str">
        <f t="shared" si="0"/>
        <v>OK</v>
      </c>
      <c r="D8" s="156"/>
    </row>
    <row r="9" spans="1:4">
      <c r="A9" s="146" t="s">
        <v>138</v>
      </c>
      <c r="B9" s="146" t="s">
        <v>138</v>
      </c>
      <c r="C9" t="str">
        <f t="shared" si="0"/>
        <v>OK</v>
      </c>
      <c r="D9" s="156"/>
    </row>
    <row r="10" spans="1:4">
      <c r="A10" s="146" t="s">
        <v>139</v>
      </c>
      <c r="B10" s="146" t="s">
        <v>139</v>
      </c>
      <c r="C10" t="str">
        <f t="shared" si="0"/>
        <v>OK</v>
      </c>
      <c r="D10" s="156"/>
    </row>
    <row r="11" spans="1:4">
      <c r="A11" s="146" t="s">
        <v>140</v>
      </c>
      <c r="B11" s="146" t="s">
        <v>140</v>
      </c>
      <c r="C11" t="str">
        <f t="shared" si="0"/>
        <v>OK</v>
      </c>
      <c r="D11" s="156"/>
    </row>
    <row r="12" spans="1:4">
      <c r="A12" s="146" t="s">
        <v>141</v>
      </c>
      <c r="B12" s="146" t="s">
        <v>141</v>
      </c>
      <c r="C12" t="str">
        <f t="shared" si="0"/>
        <v>OK</v>
      </c>
      <c r="D12" s="156"/>
    </row>
    <row r="13" spans="1:4">
      <c r="A13" s="146" t="s">
        <v>142</v>
      </c>
      <c r="B13" s="146" t="s">
        <v>142</v>
      </c>
      <c r="C13" t="str">
        <f t="shared" si="0"/>
        <v>OK</v>
      </c>
      <c r="D13" s="156"/>
    </row>
    <row r="14" spans="1:4">
      <c r="A14" s="146" t="s">
        <v>143</v>
      </c>
      <c r="B14" s="146" t="s">
        <v>143</v>
      </c>
      <c r="C14" t="str">
        <f t="shared" si="0"/>
        <v>OK</v>
      </c>
      <c r="D14" s="156"/>
    </row>
    <row r="15" spans="1:4">
      <c r="A15" s="146" t="s">
        <v>144</v>
      </c>
      <c r="B15" s="146" t="s">
        <v>144</v>
      </c>
      <c r="C15" t="str">
        <f t="shared" si="0"/>
        <v>OK</v>
      </c>
      <c r="D15" s="156"/>
    </row>
    <row r="16" spans="1:4">
      <c r="A16" s="146" t="s">
        <v>145</v>
      </c>
      <c r="B16" s="146"/>
      <c r="C16" t="str">
        <f t="shared" si="0"/>
        <v>ERROR</v>
      </c>
      <c r="D16" s="156"/>
    </row>
    <row r="17" spans="1:4">
      <c r="A17" s="146" t="s">
        <v>146</v>
      </c>
      <c r="B17" s="146" t="s">
        <v>146</v>
      </c>
      <c r="C17" t="str">
        <f t="shared" si="0"/>
        <v>OK</v>
      </c>
      <c r="D17" s="156"/>
    </row>
    <row r="18" spans="1:4">
      <c r="A18" s="146" t="s">
        <v>147</v>
      </c>
      <c r="B18" s="146" t="s">
        <v>147</v>
      </c>
      <c r="C18" t="str">
        <f t="shared" si="0"/>
        <v>OK</v>
      </c>
      <c r="D18" s="156"/>
    </row>
    <row r="19" spans="1:4">
      <c r="A19" s="146" t="s">
        <v>148</v>
      </c>
      <c r="B19" s="146" t="s">
        <v>148</v>
      </c>
      <c r="C19" t="str">
        <f t="shared" si="0"/>
        <v>OK</v>
      </c>
      <c r="D19" s="156"/>
    </row>
    <row r="20" spans="1:4">
      <c r="A20" s="146" t="s">
        <v>149</v>
      </c>
      <c r="B20" s="146" t="s">
        <v>149</v>
      </c>
      <c r="C20" t="str">
        <f t="shared" si="0"/>
        <v>OK</v>
      </c>
      <c r="D20" s="156"/>
    </row>
    <row r="21" spans="1:4" ht="36.75">
      <c r="A21" s="147" t="s">
        <v>150</v>
      </c>
      <c r="B21" s="147" t="s">
        <v>150</v>
      </c>
      <c r="C21" t="str">
        <f t="shared" si="0"/>
        <v>OK</v>
      </c>
      <c r="D21" s="156"/>
    </row>
    <row r="22" spans="1:4">
      <c r="A22" s="146" t="s">
        <v>151</v>
      </c>
      <c r="B22" s="146" t="s">
        <v>151</v>
      </c>
      <c r="C22" t="str">
        <f t="shared" si="0"/>
        <v>OK</v>
      </c>
      <c r="D22" s="155"/>
    </row>
    <row r="23" spans="1:4">
      <c r="A23" s="145" t="s">
        <v>152</v>
      </c>
      <c r="B23" s="145" t="s">
        <v>152</v>
      </c>
      <c r="C23" t="str">
        <f t="shared" si="0"/>
        <v>OK</v>
      </c>
      <c r="D23" s="156"/>
    </row>
    <row r="24" spans="1:4">
      <c r="A24" s="146" t="s">
        <v>153</v>
      </c>
      <c r="B24" s="146" t="s">
        <v>153</v>
      </c>
      <c r="C24" t="str">
        <f t="shared" si="0"/>
        <v>OK</v>
      </c>
      <c r="D24" s="156"/>
    </row>
    <row r="25" spans="1:4">
      <c r="A25" s="146" t="s">
        <v>154</v>
      </c>
      <c r="B25" s="146" t="s">
        <v>154</v>
      </c>
      <c r="C25" t="str">
        <f t="shared" si="0"/>
        <v>OK</v>
      </c>
      <c r="D25" s="156"/>
    </row>
    <row r="26" spans="1:4">
      <c r="A26" s="146" t="s">
        <v>155</v>
      </c>
      <c r="B26" s="146" t="s">
        <v>155</v>
      </c>
      <c r="C26" t="str">
        <f t="shared" si="0"/>
        <v>OK</v>
      </c>
      <c r="D26" s="156"/>
    </row>
    <row r="27" spans="1:4">
      <c r="A27" s="146" t="s">
        <v>156</v>
      </c>
      <c r="B27" s="146" t="s">
        <v>156</v>
      </c>
      <c r="C27" t="str">
        <f t="shared" si="0"/>
        <v>OK</v>
      </c>
      <c r="D27" s="156"/>
    </row>
    <row r="28" spans="1:4">
      <c r="A28" s="146" t="s">
        <v>157</v>
      </c>
      <c r="B28" s="146" t="s">
        <v>157</v>
      </c>
      <c r="C28" t="str">
        <f t="shared" si="0"/>
        <v>OK</v>
      </c>
      <c r="D28" s="156"/>
    </row>
    <row r="29" spans="1:4">
      <c r="A29" s="146" t="s">
        <v>151</v>
      </c>
      <c r="B29" s="146" t="s">
        <v>151</v>
      </c>
      <c r="C29" t="str">
        <f t="shared" si="0"/>
        <v>OK</v>
      </c>
      <c r="D29" s="155"/>
    </row>
    <row r="30" spans="1:4">
      <c r="A30" s="145" t="s">
        <v>158</v>
      </c>
      <c r="B30" s="145" t="s">
        <v>158</v>
      </c>
      <c r="C30" t="str">
        <f t="shared" si="0"/>
        <v>OK</v>
      </c>
      <c r="D30" s="156"/>
    </row>
    <row r="31" spans="1:4">
      <c r="A31" s="146" t="s">
        <v>159</v>
      </c>
      <c r="B31" s="146" t="s">
        <v>159</v>
      </c>
      <c r="C31" t="str">
        <f t="shared" si="0"/>
        <v>OK</v>
      </c>
      <c r="D31" s="156"/>
    </row>
    <row r="32" spans="1:4">
      <c r="A32" s="146" t="s">
        <v>160</v>
      </c>
      <c r="B32" s="146" t="s">
        <v>160</v>
      </c>
      <c r="C32" t="str">
        <f t="shared" si="0"/>
        <v>OK</v>
      </c>
      <c r="D32" s="156"/>
    </row>
    <row r="33" spans="1:4">
      <c r="A33" s="146" t="s">
        <v>161</v>
      </c>
      <c r="B33" s="146" t="s">
        <v>161</v>
      </c>
      <c r="C33" t="str">
        <f t="shared" si="0"/>
        <v>OK</v>
      </c>
      <c r="D33" s="156"/>
    </row>
    <row r="34" spans="1:4">
      <c r="A34" s="146" t="s">
        <v>162</v>
      </c>
      <c r="B34" s="146" t="s">
        <v>162</v>
      </c>
      <c r="C34" t="str">
        <f t="shared" si="0"/>
        <v>OK</v>
      </c>
      <c r="D34" s="156"/>
    </row>
    <row r="35" spans="1:4">
      <c r="A35" s="146" t="s">
        <v>163</v>
      </c>
      <c r="B35" s="146" t="s">
        <v>163</v>
      </c>
      <c r="C35" t="str">
        <f t="shared" si="0"/>
        <v>OK</v>
      </c>
      <c r="D35" s="156"/>
    </row>
    <row r="36" spans="1:4" ht="36.75">
      <c r="A36" s="147" t="s">
        <v>164</v>
      </c>
      <c r="B36" s="147" t="s">
        <v>164</v>
      </c>
      <c r="C36" t="str">
        <f t="shared" si="0"/>
        <v>OK</v>
      </c>
      <c r="D36" s="156"/>
    </row>
    <row r="37" spans="1:4">
      <c r="A37" s="147" t="s">
        <v>165</v>
      </c>
      <c r="B37" s="147" t="s">
        <v>165</v>
      </c>
      <c r="C37" t="str">
        <f t="shared" si="0"/>
        <v>OK</v>
      </c>
      <c r="D37" s="156"/>
    </row>
    <row r="38" spans="1:4">
      <c r="A38" s="146" t="s">
        <v>166</v>
      </c>
      <c r="B38" s="146" t="s">
        <v>166</v>
      </c>
      <c r="C38" t="str">
        <f t="shared" si="0"/>
        <v>OK</v>
      </c>
      <c r="D38" s="156"/>
    </row>
    <row r="39" spans="1:4">
      <c r="A39" s="146" t="s">
        <v>167</v>
      </c>
      <c r="B39" s="146" t="s">
        <v>167</v>
      </c>
      <c r="C39" t="str">
        <f t="shared" si="0"/>
        <v>OK</v>
      </c>
      <c r="D39" s="156"/>
    </row>
    <row r="40" spans="1:4">
      <c r="A40" s="146" t="s">
        <v>168</v>
      </c>
      <c r="B40" s="146" t="s">
        <v>168</v>
      </c>
      <c r="C40" t="str">
        <f t="shared" si="0"/>
        <v>OK</v>
      </c>
      <c r="D40" s="156"/>
    </row>
    <row r="41" spans="1:4">
      <c r="A41" s="146" t="s">
        <v>169</v>
      </c>
      <c r="B41" s="146" t="s">
        <v>169</v>
      </c>
      <c r="C41" t="str">
        <f t="shared" si="0"/>
        <v>OK</v>
      </c>
      <c r="D41" s="156"/>
    </row>
    <row r="42" spans="1:4">
      <c r="A42" s="146" t="s">
        <v>170</v>
      </c>
      <c r="B42" s="146" t="s">
        <v>170</v>
      </c>
      <c r="C42" t="str">
        <f t="shared" si="0"/>
        <v>OK</v>
      </c>
      <c r="D42" s="156"/>
    </row>
    <row r="43" spans="1:4">
      <c r="A43" s="146" t="s">
        <v>171</v>
      </c>
      <c r="B43" s="146" t="s">
        <v>171</v>
      </c>
      <c r="C43" t="str">
        <f t="shared" si="0"/>
        <v>OK</v>
      </c>
      <c r="D43" s="156"/>
    </row>
    <row r="44" spans="1:4">
      <c r="A44" s="146" t="s">
        <v>172</v>
      </c>
      <c r="B44" s="146" t="s">
        <v>172</v>
      </c>
      <c r="C44" t="str">
        <f t="shared" si="0"/>
        <v>OK</v>
      </c>
      <c r="D44" s="156"/>
    </row>
    <row r="45" spans="1:4">
      <c r="A45" s="146" t="s">
        <v>173</v>
      </c>
      <c r="B45" s="146" t="s">
        <v>173</v>
      </c>
      <c r="C45" t="str">
        <f t="shared" si="0"/>
        <v>OK</v>
      </c>
      <c r="D45" s="156"/>
    </row>
    <row r="46" spans="1:4">
      <c r="A46" s="146" t="s">
        <v>174</v>
      </c>
      <c r="B46" s="146" t="s">
        <v>174</v>
      </c>
      <c r="C46" t="str">
        <f t="shared" si="0"/>
        <v>OK</v>
      </c>
      <c r="D46" s="156"/>
    </row>
    <row r="47" spans="1:4">
      <c r="A47" s="146" t="s">
        <v>175</v>
      </c>
      <c r="B47" s="146" t="s">
        <v>175</v>
      </c>
      <c r="C47" t="str">
        <f t="shared" si="0"/>
        <v>OK</v>
      </c>
      <c r="D47" s="156"/>
    </row>
    <row r="48" spans="1:4">
      <c r="A48" s="146" t="s">
        <v>176</v>
      </c>
      <c r="B48" s="146" t="s">
        <v>176</v>
      </c>
      <c r="C48" t="str">
        <f t="shared" si="0"/>
        <v>OK</v>
      </c>
      <c r="D48" s="157"/>
    </row>
    <row r="49" spans="1:4">
      <c r="A49" s="148"/>
      <c r="B49" s="148"/>
      <c r="D49" s="157"/>
    </row>
    <row r="50" spans="1:4">
      <c r="A50" s="149"/>
      <c r="B50" s="149"/>
    </row>
    <row r="51" spans="1:4">
      <c r="A51" s="149"/>
      <c r="B51" s="149"/>
    </row>
    <row r="52" spans="1:4">
      <c r="A52" s="149"/>
      <c r="B52" s="149"/>
    </row>
    <row r="53" spans="1:4">
      <c r="A53" s="150" t="s">
        <v>177</v>
      </c>
      <c r="B53" s="150" t="s">
        <v>177</v>
      </c>
    </row>
    <row r="54" spans="1:4">
      <c r="A54" s="323" t="s">
        <v>178</v>
      </c>
      <c r="B54" s="323" t="s">
        <v>178</v>
      </c>
    </row>
    <row r="55" spans="1:4">
      <c r="A55" s="324"/>
      <c r="B55" s="324"/>
    </row>
    <row r="56" spans="1:4">
      <c r="A56" s="324"/>
      <c r="B56" s="324"/>
    </row>
    <row r="57" spans="1:4">
      <c r="A57" s="324"/>
      <c r="B57" s="324"/>
    </row>
    <row r="58" spans="1:4">
      <c r="A58" s="324"/>
      <c r="B58" s="324"/>
    </row>
    <row r="59" spans="1:4">
      <c r="A59" s="324"/>
      <c r="B59" s="324"/>
    </row>
    <row r="60" spans="1:4">
      <c r="A60" s="324"/>
      <c r="B60" s="324"/>
    </row>
    <row r="61" spans="1:4">
      <c r="A61" s="324"/>
      <c r="B61" s="324"/>
    </row>
    <row r="62" spans="1:4">
      <c r="A62" s="324"/>
      <c r="B62" s="324"/>
    </row>
    <row r="63" spans="1:4">
      <c r="A63" s="324"/>
      <c r="B63" s="324"/>
    </row>
    <row r="64" spans="1:4">
      <c r="A64" s="325"/>
      <c r="B64" s="325"/>
    </row>
    <row r="65" spans="1:4">
      <c r="A65" s="151" t="s">
        <v>179</v>
      </c>
      <c r="B65" s="151" t="s">
        <v>179</v>
      </c>
      <c r="C65" t="str">
        <f t="shared" ref="C65:C102" si="1">IF(A65&lt;&gt;B65,"ERROR","OK")</f>
        <v>OK</v>
      </c>
      <c r="D65" s="156"/>
    </row>
    <row r="66" spans="1:4">
      <c r="A66" s="151" t="s">
        <v>165</v>
      </c>
      <c r="B66" s="151" t="s">
        <v>165</v>
      </c>
      <c r="C66" t="str">
        <f t="shared" si="1"/>
        <v>OK</v>
      </c>
      <c r="D66" s="156"/>
    </row>
    <row r="67" spans="1:4">
      <c r="A67" s="151" t="s">
        <v>180</v>
      </c>
      <c r="B67" s="151" t="s">
        <v>180</v>
      </c>
      <c r="C67" t="str">
        <f t="shared" si="1"/>
        <v>OK</v>
      </c>
      <c r="D67" s="156"/>
    </row>
    <row r="68" spans="1:4">
      <c r="A68" s="151" t="s">
        <v>181</v>
      </c>
      <c r="B68" s="151" t="s">
        <v>181</v>
      </c>
      <c r="C68" t="str">
        <f t="shared" si="1"/>
        <v>OK</v>
      </c>
      <c r="D68" s="156"/>
    </row>
    <row r="69" spans="1:4">
      <c r="A69" s="151" t="s">
        <v>182</v>
      </c>
      <c r="B69" s="151" t="s">
        <v>182</v>
      </c>
      <c r="C69" t="str">
        <f t="shared" si="1"/>
        <v>OK</v>
      </c>
      <c r="D69" s="156"/>
    </row>
    <row r="70" spans="1:4">
      <c r="A70" s="151" t="s">
        <v>183</v>
      </c>
      <c r="B70" s="151" t="s">
        <v>183</v>
      </c>
      <c r="C70" t="str">
        <f t="shared" si="1"/>
        <v>OK</v>
      </c>
      <c r="D70" s="156"/>
    </row>
    <row r="71" spans="1:4">
      <c r="A71" s="151" t="s">
        <v>184</v>
      </c>
      <c r="B71" s="151" t="s">
        <v>184</v>
      </c>
      <c r="C71" t="str">
        <f t="shared" si="1"/>
        <v>OK</v>
      </c>
      <c r="D71" s="156"/>
    </row>
    <row r="72" spans="1:4">
      <c r="A72" s="151" t="s">
        <v>185</v>
      </c>
      <c r="B72" s="151" t="s">
        <v>185</v>
      </c>
      <c r="C72" t="str">
        <f t="shared" si="1"/>
        <v>OK</v>
      </c>
      <c r="D72" s="156"/>
    </row>
    <row r="73" spans="1:4">
      <c r="A73" s="151" t="s">
        <v>186</v>
      </c>
      <c r="B73" s="151" t="s">
        <v>186</v>
      </c>
      <c r="C73" t="str">
        <f t="shared" si="1"/>
        <v>OK</v>
      </c>
      <c r="D73" s="156"/>
    </row>
    <row r="74" spans="1:4">
      <c r="A74" s="151" t="s">
        <v>187</v>
      </c>
      <c r="B74" s="151" t="s">
        <v>187</v>
      </c>
      <c r="C74" t="str">
        <f t="shared" si="1"/>
        <v>OK</v>
      </c>
      <c r="D74" s="156"/>
    </row>
    <row r="75" spans="1:4">
      <c r="A75" s="151" t="s">
        <v>188</v>
      </c>
      <c r="B75" s="151" t="s">
        <v>188</v>
      </c>
      <c r="C75" t="str">
        <f t="shared" si="1"/>
        <v>OK</v>
      </c>
      <c r="D75" s="156"/>
    </row>
    <row r="76" spans="1:4">
      <c r="A76" s="151" t="s">
        <v>189</v>
      </c>
      <c r="B76" s="151" t="s">
        <v>189</v>
      </c>
      <c r="C76" t="str">
        <f t="shared" si="1"/>
        <v>OK</v>
      </c>
      <c r="D76" s="156"/>
    </row>
    <row r="77" spans="1:4">
      <c r="A77" s="151" t="s">
        <v>190</v>
      </c>
      <c r="B77" s="151" t="s">
        <v>190</v>
      </c>
      <c r="C77" t="str">
        <f t="shared" si="1"/>
        <v>OK</v>
      </c>
      <c r="D77" s="156"/>
    </row>
    <row r="78" spans="1:4">
      <c r="A78" s="151" t="s">
        <v>191</v>
      </c>
      <c r="B78" s="151" t="s">
        <v>191</v>
      </c>
      <c r="C78" t="str">
        <f t="shared" si="1"/>
        <v>OK</v>
      </c>
      <c r="D78" s="156"/>
    </row>
    <row r="79" spans="1:4">
      <c r="A79" s="151" t="s">
        <v>192</v>
      </c>
      <c r="B79" s="151" t="s">
        <v>192</v>
      </c>
      <c r="C79" t="str">
        <f t="shared" si="1"/>
        <v>OK</v>
      </c>
      <c r="D79" s="156"/>
    </row>
    <row r="80" spans="1:4">
      <c r="A80" s="151" t="s">
        <v>193</v>
      </c>
      <c r="B80" s="151" t="s">
        <v>193</v>
      </c>
      <c r="C80" t="str">
        <f t="shared" si="1"/>
        <v>OK</v>
      </c>
      <c r="D80" s="156"/>
    </row>
    <row r="81" spans="1:4">
      <c r="A81" s="151" t="s">
        <v>194</v>
      </c>
      <c r="B81" s="151" t="s">
        <v>194</v>
      </c>
      <c r="C81" t="str">
        <f t="shared" si="1"/>
        <v>OK</v>
      </c>
      <c r="D81" s="156"/>
    </row>
    <row r="82" spans="1:4">
      <c r="A82" s="151" t="s">
        <v>195</v>
      </c>
      <c r="B82" s="151" t="s">
        <v>195</v>
      </c>
      <c r="C82" t="str">
        <f t="shared" si="1"/>
        <v>OK</v>
      </c>
      <c r="D82" s="156"/>
    </row>
    <row r="83" spans="1:4">
      <c r="A83" s="151" t="s">
        <v>151</v>
      </c>
      <c r="B83" s="151" t="s">
        <v>151</v>
      </c>
      <c r="C83" t="str">
        <f t="shared" si="1"/>
        <v>OK</v>
      </c>
      <c r="D83" s="156"/>
    </row>
    <row r="84" spans="1:4">
      <c r="A84" s="152" t="s">
        <v>196</v>
      </c>
      <c r="B84" s="152" t="s">
        <v>196</v>
      </c>
      <c r="C84" t="str">
        <f t="shared" si="1"/>
        <v>OK</v>
      </c>
      <c r="D84" s="155"/>
    </row>
    <row r="85" spans="1:4">
      <c r="A85" s="152" t="s">
        <v>197</v>
      </c>
      <c r="B85" s="152" t="s">
        <v>197</v>
      </c>
      <c r="C85" t="str">
        <f t="shared" si="1"/>
        <v>OK</v>
      </c>
      <c r="D85" s="155"/>
    </row>
    <row r="86" spans="1:4">
      <c r="A86" s="151" t="s">
        <v>198</v>
      </c>
      <c r="B86" s="151" t="s">
        <v>198</v>
      </c>
      <c r="C86" t="str">
        <f t="shared" si="1"/>
        <v>OK</v>
      </c>
      <c r="D86" s="156"/>
    </row>
    <row r="87" spans="1:4">
      <c r="A87" s="151" t="s">
        <v>199</v>
      </c>
      <c r="B87" s="151" t="s">
        <v>199</v>
      </c>
      <c r="C87" t="str">
        <f t="shared" si="1"/>
        <v>OK</v>
      </c>
      <c r="D87" s="156"/>
    </row>
    <row r="88" spans="1:4">
      <c r="A88" s="151" t="s">
        <v>200</v>
      </c>
      <c r="B88" s="151" t="s">
        <v>200</v>
      </c>
      <c r="C88" t="str">
        <f t="shared" si="1"/>
        <v>OK</v>
      </c>
      <c r="D88" s="156"/>
    </row>
    <row r="89" spans="1:4">
      <c r="A89" s="152" t="s">
        <v>201</v>
      </c>
      <c r="B89" s="152" t="s">
        <v>201</v>
      </c>
      <c r="C89" t="str">
        <f t="shared" si="1"/>
        <v>OK</v>
      </c>
      <c r="D89" s="155"/>
    </row>
    <row r="90" spans="1:4">
      <c r="A90" s="152" t="s">
        <v>202</v>
      </c>
      <c r="B90" s="152" t="s">
        <v>202</v>
      </c>
      <c r="C90" t="str">
        <f t="shared" si="1"/>
        <v>OK</v>
      </c>
      <c r="D90" s="155"/>
    </row>
    <row r="91" spans="1:4">
      <c r="A91" s="151" t="s">
        <v>203</v>
      </c>
      <c r="B91" s="151" t="s">
        <v>203</v>
      </c>
      <c r="C91" t="str">
        <f t="shared" si="1"/>
        <v>OK</v>
      </c>
      <c r="D91" s="156"/>
    </row>
    <row r="92" spans="1:4">
      <c r="A92" s="151" t="s">
        <v>204</v>
      </c>
      <c r="B92" s="151" t="s">
        <v>204</v>
      </c>
      <c r="C92" t="str">
        <f t="shared" si="1"/>
        <v>OK</v>
      </c>
      <c r="D92" s="156"/>
    </row>
    <row r="93" spans="1:4">
      <c r="A93" s="151" t="s">
        <v>205</v>
      </c>
      <c r="B93" s="151" t="s">
        <v>205</v>
      </c>
      <c r="C93" t="str">
        <f t="shared" si="1"/>
        <v>OK</v>
      </c>
      <c r="D93" s="156"/>
    </row>
    <row r="94" spans="1:4">
      <c r="A94" s="151" t="s">
        <v>206</v>
      </c>
      <c r="B94" s="151" t="s">
        <v>206</v>
      </c>
      <c r="C94" t="str">
        <f t="shared" si="1"/>
        <v>OK</v>
      </c>
      <c r="D94" s="156"/>
    </row>
    <row r="95" spans="1:4">
      <c r="A95" s="151" t="s">
        <v>207</v>
      </c>
      <c r="B95" s="151" t="s">
        <v>207</v>
      </c>
      <c r="C95" t="str">
        <f t="shared" si="1"/>
        <v>OK</v>
      </c>
      <c r="D95" s="156"/>
    </row>
    <row r="96" spans="1:4">
      <c r="A96" s="151" t="s">
        <v>208</v>
      </c>
      <c r="B96" s="151" t="s">
        <v>208</v>
      </c>
      <c r="C96" t="str">
        <f t="shared" si="1"/>
        <v>OK</v>
      </c>
      <c r="D96" s="156"/>
    </row>
    <row r="97" spans="1:4">
      <c r="A97" s="151" t="s">
        <v>151</v>
      </c>
      <c r="B97" s="151" t="s">
        <v>151</v>
      </c>
      <c r="C97" t="str">
        <f t="shared" si="1"/>
        <v>OK</v>
      </c>
      <c r="D97" s="156"/>
    </row>
    <row r="98" spans="1:4">
      <c r="A98" s="152" t="s">
        <v>209</v>
      </c>
      <c r="B98" s="152" t="s">
        <v>209</v>
      </c>
      <c r="C98" t="str">
        <f t="shared" si="1"/>
        <v>OK</v>
      </c>
      <c r="D98" s="155"/>
    </row>
    <row r="99" spans="1:4">
      <c r="A99" s="151" t="s">
        <v>210</v>
      </c>
      <c r="B99" s="151" t="s">
        <v>210</v>
      </c>
      <c r="C99" t="str">
        <f t="shared" si="1"/>
        <v>OK</v>
      </c>
      <c r="D99" s="156"/>
    </row>
    <row r="100" spans="1:4">
      <c r="A100" s="151" t="s">
        <v>211</v>
      </c>
      <c r="B100" s="151" t="s">
        <v>211</v>
      </c>
      <c r="C100" t="str">
        <f t="shared" si="1"/>
        <v>OK</v>
      </c>
      <c r="D100" s="156"/>
    </row>
    <row r="101" spans="1:4">
      <c r="A101" s="151" t="s">
        <v>151</v>
      </c>
      <c r="B101" s="151" t="s">
        <v>151</v>
      </c>
      <c r="C101" t="str">
        <f t="shared" si="1"/>
        <v>OK</v>
      </c>
      <c r="D101" s="156"/>
    </row>
    <row r="102" spans="1:4">
      <c r="A102" s="152" t="s">
        <v>212</v>
      </c>
      <c r="B102" s="152" t="s">
        <v>212</v>
      </c>
      <c r="C102" t="str">
        <f t="shared" si="1"/>
        <v>OK</v>
      </c>
      <c r="D102" s="155"/>
    </row>
    <row r="103" spans="1:4">
      <c r="A103" s="153"/>
      <c r="B103" s="153"/>
      <c r="D103" s="158"/>
    </row>
  </sheetData>
  <mergeCells count="2">
    <mergeCell ref="A54:A64"/>
    <mergeCell ref="B54:B6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96"/>
  <sheetViews>
    <sheetView zoomScaleNormal="100" workbookViewId="0">
      <selection activeCell="B57" sqref="B57"/>
    </sheetView>
  </sheetViews>
  <sheetFormatPr defaultColWidth="9" defaultRowHeight="12.75"/>
  <cols>
    <col min="1" max="1" width="26.28515625" style="46" customWidth="1"/>
    <col min="2" max="2" width="7" style="193" bestFit="1" customWidth="1"/>
    <col min="3" max="3" width="7" style="46" bestFit="1" customWidth="1"/>
    <col min="4" max="4" width="7.5703125" style="46" bestFit="1" customWidth="1"/>
    <col min="5" max="6" width="6.5703125" style="46" bestFit="1" customWidth="1"/>
    <col min="7" max="8" width="9" style="46" bestFit="1" customWidth="1"/>
    <col min="9" max="9" width="11.28515625" style="46" bestFit="1" customWidth="1"/>
    <col min="10" max="11" width="6.5703125" style="46" bestFit="1" customWidth="1"/>
    <col min="12" max="16384" width="9" style="46"/>
  </cols>
  <sheetData>
    <row r="1" spans="1:11">
      <c r="A1" s="8" t="s">
        <v>129</v>
      </c>
      <c r="B1" s="190"/>
      <c r="C1" s="62"/>
      <c r="D1" s="62"/>
      <c r="E1" s="62"/>
      <c r="F1" s="62"/>
      <c r="G1" s="62"/>
      <c r="H1" s="62"/>
      <c r="I1" s="62"/>
      <c r="J1" s="1"/>
    </row>
    <row r="2" spans="1:11" ht="13.5" thickBot="1">
      <c r="A2" s="1" t="s">
        <v>237</v>
      </c>
      <c r="B2" s="191"/>
      <c r="C2" s="47"/>
      <c r="D2" s="47"/>
      <c r="G2" s="47"/>
      <c r="H2" s="47"/>
      <c r="I2" s="47"/>
    </row>
    <row r="3" spans="1:11" ht="13.5" thickBot="1">
      <c r="A3" s="10"/>
      <c r="B3" s="341" t="s">
        <v>102</v>
      </c>
      <c r="C3" s="342"/>
      <c r="D3" s="343"/>
      <c r="E3" s="344" t="s">
        <v>0</v>
      </c>
      <c r="F3" s="346"/>
      <c r="G3" s="347" t="s">
        <v>103</v>
      </c>
      <c r="H3" s="347"/>
      <c r="I3" s="346"/>
      <c r="J3" s="344" t="s">
        <v>0</v>
      </c>
      <c r="K3" s="346"/>
    </row>
    <row r="4" spans="1:11" ht="13.5" thickBot="1">
      <c r="A4" s="5"/>
      <c r="B4" s="318">
        <v>2017</v>
      </c>
      <c r="C4" s="21">
        <v>2016</v>
      </c>
      <c r="D4" s="142">
        <v>2015</v>
      </c>
      <c r="E4" s="21" t="s">
        <v>214</v>
      </c>
      <c r="F4" s="21" t="s">
        <v>215</v>
      </c>
      <c r="G4" s="21">
        <v>2017</v>
      </c>
      <c r="H4" s="21">
        <v>2016</v>
      </c>
      <c r="I4" s="143">
        <v>2015</v>
      </c>
      <c r="J4" s="21" t="s">
        <v>214</v>
      </c>
      <c r="K4" s="21" t="s">
        <v>215</v>
      </c>
    </row>
    <row r="5" spans="1:11">
      <c r="A5" s="7" t="s">
        <v>1</v>
      </c>
      <c r="B5" s="319">
        <f>B6+B27+B35+B79+B91+B96</f>
        <v>278.50000000000006</v>
      </c>
      <c r="C5" s="245">
        <v>265.39800000000002</v>
      </c>
      <c r="D5" s="246">
        <v>224.52199999999999</v>
      </c>
      <c r="E5" s="77">
        <f>B5/C5-1</f>
        <v>4.9367365240130079E-2</v>
      </c>
      <c r="F5" s="80">
        <f>B5/D5-1</f>
        <v>0.2404129662126655</v>
      </c>
      <c r="G5" s="252">
        <f>B5+Aug!G5</f>
        <v>2539.6000000000004</v>
      </c>
      <c r="H5" s="252">
        <f>C5+Aug!H5</f>
        <v>2092.8029999999999</v>
      </c>
      <c r="I5" s="250">
        <v>2103.4650000000001</v>
      </c>
      <c r="J5" s="79">
        <f>G5/H5-1</f>
        <v>0.21349214426775975</v>
      </c>
      <c r="K5" s="80">
        <f>G5/I5-1</f>
        <v>0.20734122031980573</v>
      </c>
    </row>
    <row r="6" spans="1:11">
      <c r="A6" s="7" t="s">
        <v>2</v>
      </c>
      <c r="B6" s="320">
        <f>B8+B21+B58+B59+B60+B62</f>
        <v>32.6</v>
      </c>
      <c r="C6" s="247">
        <v>29.88</v>
      </c>
      <c r="D6" s="246">
        <v>21.187000000000001</v>
      </c>
      <c r="E6" s="73">
        <f t="shared" ref="E6:E69" si="0">B6/C6-1</f>
        <v>9.1030789825970571E-2</v>
      </c>
      <c r="F6" s="49">
        <f t="shared" ref="F6:F69" si="1">B6/D6-1</f>
        <v>0.53867937886439798</v>
      </c>
      <c r="G6" s="253">
        <f>B6+Aug!G6</f>
        <v>302.3</v>
      </c>
      <c r="H6" s="253">
        <f>C6+Aug!H6</f>
        <v>212.07400000000001</v>
      </c>
      <c r="I6" s="250">
        <v>179.88499999999999</v>
      </c>
      <c r="J6" s="48">
        <f t="shared" ref="J6:J69" si="2">G6/H6-1</f>
        <v>0.42544583494440613</v>
      </c>
      <c r="K6" s="49">
        <f t="shared" ref="K6:K69" si="3">G6/I6-1</f>
        <v>0.68051810879172825</v>
      </c>
    </row>
    <row r="7" spans="1:11">
      <c r="A7" s="7"/>
      <c r="B7" s="321"/>
      <c r="C7" s="247">
        <v>0</v>
      </c>
      <c r="D7" s="246">
        <v>0</v>
      </c>
      <c r="E7" s="73"/>
      <c r="F7" s="49"/>
      <c r="G7" s="253"/>
      <c r="H7" s="253"/>
      <c r="I7" s="250"/>
      <c r="J7" s="48"/>
      <c r="K7" s="49"/>
    </row>
    <row r="8" spans="1:11">
      <c r="A8" s="7" t="s">
        <v>3</v>
      </c>
      <c r="B8" s="320">
        <f>SUM(B9:B19)</f>
        <v>24.400000000000002</v>
      </c>
      <c r="C8" s="247">
        <v>22.806000000000001</v>
      </c>
      <c r="D8" s="246">
        <v>15.289</v>
      </c>
      <c r="E8" s="73">
        <f t="shared" si="0"/>
        <v>6.9893887573445612E-2</v>
      </c>
      <c r="F8" s="49">
        <f t="shared" si="1"/>
        <v>0.59591863431225089</v>
      </c>
      <c r="G8" s="253">
        <f>B8+Aug!G8</f>
        <v>224.30000000000004</v>
      </c>
      <c r="H8" s="253">
        <f>C8+Aug!H8</f>
        <v>156.57300000000004</v>
      </c>
      <c r="I8" s="250">
        <v>126.404</v>
      </c>
      <c r="J8" s="48">
        <f t="shared" si="2"/>
        <v>0.43255861483142044</v>
      </c>
      <c r="K8" s="49">
        <f t="shared" si="3"/>
        <v>0.77446916236827978</v>
      </c>
    </row>
    <row r="9" spans="1:11">
      <c r="A9" s="7" t="s">
        <v>4</v>
      </c>
      <c r="B9" s="320">
        <v>4</v>
      </c>
      <c r="C9" s="247">
        <v>4.4420000000000002</v>
      </c>
      <c r="D9" s="246">
        <v>2.4809999999999999</v>
      </c>
      <c r="E9" s="73">
        <f t="shared" si="0"/>
        <v>-9.9504727600180143E-2</v>
      </c>
      <c r="F9" s="49">
        <f t="shared" si="1"/>
        <v>0.6122531237404274</v>
      </c>
      <c r="G9" s="253">
        <f>B9+Aug!G9</f>
        <v>39.5</v>
      </c>
      <c r="H9" s="253">
        <f>C9+Aug!H9</f>
        <v>30.788999999999998</v>
      </c>
      <c r="I9" s="250">
        <v>28.01</v>
      </c>
      <c r="J9" s="48">
        <f t="shared" si="2"/>
        <v>0.28292572022475571</v>
      </c>
      <c r="K9" s="49">
        <f t="shared" si="3"/>
        <v>0.41021063905747934</v>
      </c>
    </row>
    <row r="10" spans="1:11">
      <c r="A10" s="7" t="s">
        <v>5</v>
      </c>
      <c r="B10" s="321">
        <v>0.2</v>
      </c>
      <c r="C10" s="247">
        <v>0.42899999999999999</v>
      </c>
      <c r="D10" s="246">
        <v>0.438</v>
      </c>
      <c r="E10" s="73">
        <f t="shared" si="0"/>
        <v>-0.53379953379953382</v>
      </c>
      <c r="F10" s="49">
        <f t="shared" si="1"/>
        <v>-0.54337899543378998</v>
      </c>
      <c r="G10" s="253">
        <f>B10+Aug!G10</f>
        <v>4.5999999999999996</v>
      </c>
      <c r="H10" s="253">
        <f>C10+Aug!H10</f>
        <v>3.1379999999999999</v>
      </c>
      <c r="I10" s="250">
        <v>2.8319999999999999</v>
      </c>
      <c r="J10" s="48">
        <f t="shared" si="2"/>
        <v>0.46590184831102599</v>
      </c>
      <c r="K10" s="49">
        <f t="shared" si="3"/>
        <v>0.62429378531073443</v>
      </c>
    </row>
    <row r="11" spans="1:11">
      <c r="A11" s="7" t="s">
        <v>6</v>
      </c>
      <c r="B11" s="321">
        <v>2.4</v>
      </c>
      <c r="C11" s="247">
        <v>1.6910000000000001</v>
      </c>
      <c r="D11" s="246">
        <v>1.9830000000000001</v>
      </c>
      <c r="E11" s="73">
        <f t="shared" si="0"/>
        <v>0.41927853341218202</v>
      </c>
      <c r="F11" s="49">
        <f t="shared" si="1"/>
        <v>0.21028744326777593</v>
      </c>
      <c r="G11" s="253">
        <f>B11+Aug!G11</f>
        <v>24.7</v>
      </c>
      <c r="H11" s="253">
        <f>C11+Aug!H11</f>
        <v>14.392000000000001</v>
      </c>
      <c r="I11" s="250">
        <v>15.215</v>
      </c>
      <c r="J11" s="48">
        <f t="shared" si="2"/>
        <v>0.71623123957754298</v>
      </c>
      <c r="K11" s="49">
        <f t="shared" si="3"/>
        <v>0.62339796253697011</v>
      </c>
    </row>
    <row r="12" spans="1:11">
      <c r="A12" s="7" t="s">
        <v>86</v>
      </c>
      <c r="B12" s="321">
        <v>0.6</v>
      </c>
      <c r="C12" s="247">
        <v>0.47399999999999998</v>
      </c>
      <c r="D12" s="246">
        <v>0.39100000000000001</v>
      </c>
      <c r="E12" s="73">
        <f t="shared" si="0"/>
        <v>0.26582278481012667</v>
      </c>
      <c r="F12" s="49">
        <f t="shared" si="1"/>
        <v>0.53452685421994883</v>
      </c>
      <c r="G12" s="253">
        <f>B12+Aug!G12</f>
        <v>5.8999999999999995</v>
      </c>
      <c r="H12" s="253">
        <f>C12+Aug!H12</f>
        <v>3.4619999999999997</v>
      </c>
      <c r="I12" s="250">
        <v>3.2</v>
      </c>
      <c r="J12" s="48">
        <f t="shared" si="2"/>
        <v>0.70421721548238003</v>
      </c>
      <c r="K12" s="49">
        <f t="shared" si="3"/>
        <v>0.84374999999999978</v>
      </c>
    </row>
    <row r="13" spans="1:11">
      <c r="A13" s="7" t="s">
        <v>8</v>
      </c>
      <c r="B13" s="321">
        <f>9.8-0.6</f>
        <v>9.2000000000000011</v>
      </c>
      <c r="C13" s="247">
        <v>8.7940000000000005</v>
      </c>
      <c r="D13" s="246">
        <v>4.6950000000000003</v>
      </c>
      <c r="E13" s="73">
        <f t="shared" si="0"/>
        <v>4.6167841710257118E-2</v>
      </c>
      <c r="F13" s="49">
        <f t="shared" si="1"/>
        <v>0.95953141640042605</v>
      </c>
      <c r="G13" s="253">
        <f>B13+Aug!G13</f>
        <v>80.5</v>
      </c>
      <c r="H13" s="253">
        <f>C13+Aug!H13</f>
        <v>53.449999999999989</v>
      </c>
      <c r="I13" s="250">
        <v>32.746000000000002</v>
      </c>
      <c r="J13" s="48">
        <f t="shared" si="2"/>
        <v>0.50608044901777394</v>
      </c>
      <c r="K13" s="49">
        <f t="shared" si="3"/>
        <v>1.4583155194527575</v>
      </c>
    </row>
    <row r="14" spans="1:11">
      <c r="A14" s="7" t="s">
        <v>9</v>
      </c>
      <c r="B14" s="321">
        <v>1.6</v>
      </c>
      <c r="C14" s="247">
        <v>1.32</v>
      </c>
      <c r="D14" s="246">
        <v>0.78900000000000003</v>
      </c>
      <c r="E14" s="73">
        <f t="shared" si="0"/>
        <v>0.21212121212121215</v>
      </c>
      <c r="F14" s="49">
        <f t="shared" si="1"/>
        <v>1.0278833967046896</v>
      </c>
      <c r="G14" s="253">
        <f>B14+Aug!G14</f>
        <v>12.2</v>
      </c>
      <c r="H14" s="253">
        <f>C14+Aug!H14</f>
        <v>8.5259999999999998</v>
      </c>
      <c r="I14" s="250">
        <v>7.4370000000000003</v>
      </c>
      <c r="J14" s="48">
        <f t="shared" si="2"/>
        <v>0.43091719446399246</v>
      </c>
      <c r="K14" s="49">
        <f t="shared" si="3"/>
        <v>0.64044641656581947</v>
      </c>
    </row>
    <row r="15" spans="1:11">
      <c r="A15" s="7" t="s">
        <v>10</v>
      </c>
      <c r="B15" s="321">
        <v>0.7</v>
      </c>
      <c r="C15" s="247">
        <v>0.59499999999999997</v>
      </c>
      <c r="D15" s="246">
        <v>0.41399999999999998</v>
      </c>
      <c r="E15" s="73">
        <f t="shared" si="0"/>
        <v>0.17647058823529416</v>
      </c>
      <c r="F15" s="49">
        <f t="shared" si="1"/>
        <v>0.6908212560386473</v>
      </c>
      <c r="G15" s="253">
        <f>B15+Aug!G15</f>
        <v>6.9000000000000012</v>
      </c>
      <c r="H15" s="253">
        <f>C15+Aug!H15</f>
        <v>4.5219999999999994</v>
      </c>
      <c r="I15" s="250">
        <v>4.3970000000000002</v>
      </c>
      <c r="J15" s="48">
        <f t="shared" si="2"/>
        <v>0.52587350729765636</v>
      </c>
      <c r="K15" s="49">
        <f t="shared" si="3"/>
        <v>0.56925176256538568</v>
      </c>
    </row>
    <row r="16" spans="1:11">
      <c r="A16" s="7" t="s">
        <v>11</v>
      </c>
      <c r="B16" s="321">
        <v>2.8</v>
      </c>
      <c r="C16" s="247">
        <v>2.5449999999999999</v>
      </c>
      <c r="D16" s="246">
        <v>1.964</v>
      </c>
      <c r="E16" s="73">
        <f t="shared" si="0"/>
        <v>0.10019646365422386</v>
      </c>
      <c r="F16" s="49">
        <f t="shared" si="1"/>
        <v>0.42566191446028512</v>
      </c>
      <c r="G16" s="253">
        <f>B16+Aug!G16</f>
        <v>29.000000000000004</v>
      </c>
      <c r="H16" s="253">
        <f>C16+Aug!H16</f>
        <v>22.317</v>
      </c>
      <c r="I16" s="250">
        <v>17.981000000000002</v>
      </c>
      <c r="J16" s="48">
        <f t="shared" si="2"/>
        <v>0.29945781242998626</v>
      </c>
      <c r="K16" s="49">
        <f t="shared" si="3"/>
        <v>0.61281352538790945</v>
      </c>
    </row>
    <row r="17" spans="1:11">
      <c r="A17" s="7" t="s">
        <v>12</v>
      </c>
      <c r="B17" s="321">
        <v>0.6</v>
      </c>
      <c r="C17" s="247">
        <v>0.71699999999999997</v>
      </c>
      <c r="D17" s="246">
        <v>0.435</v>
      </c>
      <c r="E17" s="73">
        <f t="shared" si="0"/>
        <v>-0.16317991631799167</v>
      </c>
      <c r="F17" s="49">
        <f t="shared" si="1"/>
        <v>0.37931034482758608</v>
      </c>
      <c r="G17" s="253">
        <f>B17+Aug!G17</f>
        <v>6.1999999999999993</v>
      </c>
      <c r="H17" s="253">
        <f>C17+Aug!H17</f>
        <v>5.8979999999999997</v>
      </c>
      <c r="I17" s="250">
        <v>5.1890000000000001</v>
      </c>
      <c r="J17" s="48">
        <f t="shared" si="2"/>
        <v>5.1203797897592329E-2</v>
      </c>
      <c r="K17" s="49">
        <f t="shared" si="3"/>
        <v>0.19483522836770084</v>
      </c>
    </row>
    <row r="18" spans="1:11">
      <c r="A18" s="7" t="s">
        <v>13</v>
      </c>
      <c r="B18" s="321">
        <v>0.2</v>
      </c>
      <c r="C18" s="247">
        <v>0.224</v>
      </c>
      <c r="D18" s="246">
        <v>0.22900000000000001</v>
      </c>
      <c r="E18" s="73">
        <f t="shared" si="0"/>
        <v>-0.1071428571428571</v>
      </c>
      <c r="F18" s="49">
        <f t="shared" si="1"/>
        <v>-0.1266375545851528</v>
      </c>
      <c r="G18" s="253">
        <f>B18+Aug!G18</f>
        <v>2.1</v>
      </c>
      <c r="H18" s="253">
        <f>C18+Aug!H18</f>
        <v>1.635</v>
      </c>
      <c r="I18" s="250">
        <v>1.8260000000000001</v>
      </c>
      <c r="J18" s="48">
        <f t="shared" si="2"/>
        <v>0.28440366972477071</v>
      </c>
      <c r="K18" s="49">
        <f t="shared" si="3"/>
        <v>0.15005476451259581</v>
      </c>
    </row>
    <row r="19" spans="1:11">
      <c r="A19" s="7" t="s">
        <v>14</v>
      </c>
      <c r="B19" s="321">
        <v>2.1</v>
      </c>
      <c r="C19" s="247">
        <v>1.575</v>
      </c>
      <c r="D19" s="246">
        <v>1.47</v>
      </c>
      <c r="E19" s="73">
        <f t="shared" si="0"/>
        <v>0.33333333333333348</v>
      </c>
      <c r="F19" s="49">
        <f t="shared" si="1"/>
        <v>0.4285714285714286</v>
      </c>
      <c r="G19" s="253">
        <f>B19+Aug!G19</f>
        <v>12.7</v>
      </c>
      <c r="H19" s="253">
        <f>C19+Aug!H19</f>
        <v>8.4439999999999991</v>
      </c>
      <c r="I19" s="250">
        <v>7.5709999999999997</v>
      </c>
      <c r="J19" s="48">
        <f t="shared" si="2"/>
        <v>0.50402652771198486</v>
      </c>
      <c r="K19" s="49">
        <f t="shared" si="3"/>
        <v>0.67745344076079772</v>
      </c>
    </row>
    <row r="20" spans="1:11">
      <c r="A20" s="7"/>
      <c r="B20" s="321"/>
      <c r="C20" s="247">
        <v>0</v>
      </c>
      <c r="D20" s="246">
        <v>0</v>
      </c>
      <c r="E20" s="73"/>
      <c r="F20" s="49"/>
      <c r="G20" s="253"/>
      <c r="H20" s="253"/>
      <c r="I20" s="250"/>
      <c r="J20" s="48"/>
      <c r="K20" s="49"/>
    </row>
    <row r="21" spans="1:11">
      <c r="A21" s="7" t="s">
        <v>15</v>
      </c>
      <c r="B21" s="321">
        <f>SUM(B22:B25)</f>
        <v>5.6</v>
      </c>
      <c r="C21" s="247">
        <v>7.0739999999999998</v>
      </c>
      <c r="D21" s="246">
        <v>5.8979999999999997</v>
      </c>
      <c r="E21" s="73">
        <f t="shared" si="0"/>
        <v>-0.20836867401752901</v>
      </c>
      <c r="F21" s="49">
        <f t="shared" si="1"/>
        <v>-5.0525601898948835E-2</v>
      </c>
      <c r="G21" s="253">
        <f>B21+Aug!G21</f>
        <v>57.800000000000004</v>
      </c>
      <c r="H21" s="253">
        <f>C21+Aug!H21</f>
        <v>55.500999999999991</v>
      </c>
      <c r="I21" s="250">
        <v>53.481000000000002</v>
      </c>
      <c r="J21" s="48">
        <f t="shared" si="2"/>
        <v>4.1422677068881919E-2</v>
      </c>
      <c r="K21" s="49">
        <f t="shared" si="3"/>
        <v>8.0757652250331935E-2</v>
      </c>
    </row>
    <row r="22" spans="1:11">
      <c r="A22" s="7" t="s">
        <v>16</v>
      </c>
      <c r="B22" s="321">
        <v>0.6</v>
      </c>
      <c r="C22" s="247">
        <v>0.46</v>
      </c>
      <c r="D22" s="246">
        <v>0.38900000000000001</v>
      </c>
      <c r="E22" s="73">
        <f t="shared" si="0"/>
        <v>0.30434782608695632</v>
      </c>
      <c r="F22" s="49">
        <f t="shared" si="1"/>
        <v>0.5424164524421593</v>
      </c>
      <c r="G22" s="253">
        <f>B22+Aug!G22</f>
        <v>5.8000000000000007</v>
      </c>
      <c r="H22" s="253">
        <f>C22+Aug!H22</f>
        <v>4.0969999999999995</v>
      </c>
      <c r="I22" s="250">
        <v>4.0149999999999997</v>
      </c>
      <c r="J22" s="48">
        <f t="shared" si="2"/>
        <v>0.41567000244081065</v>
      </c>
      <c r="K22" s="49">
        <f t="shared" si="3"/>
        <v>0.44458281444582837</v>
      </c>
    </row>
    <row r="23" spans="1:11">
      <c r="A23" s="7" t="s">
        <v>17</v>
      </c>
      <c r="B23" s="321">
        <v>2.2999999999999998</v>
      </c>
      <c r="C23" s="247">
        <v>2.726</v>
      </c>
      <c r="D23" s="246">
        <v>1.647</v>
      </c>
      <c r="E23" s="73">
        <f t="shared" si="0"/>
        <v>-0.15627292736610421</v>
      </c>
      <c r="F23" s="49">
        <f t="shared" si="1"/>
        <v>0.39647844565877333</v>
      </c>
      <c r="G23" s="253">
        <f>B23+Aug!G23</f>
        <v>28.8</v>
      </c>
      <c r="H23" s="253">
        <f>C23+Aug!H23</f>
        <v>25.247000000000003</v>
      </c>
      <c r="I23" s="250">
        <v>20.638999999999999</v>
      </c>
      <c r="J23" s="48">
        <f t="shared" si="2"/>
        <v>0.1407295916346496</v>
      </c>
      <c r="K23" s="49">
        <f t="shared" si="3"/>
        <v>0.39541644459518399</v>
      </c>
    </row>
    <row r="24" spans="1:11">
      <c r="A24" s="7" t="s">
        <v>18</v>
      </c>
      <c r="B24" s="321">
        <v>0.9</v>
      </c>
      <c r="C24" s="247">
        <v>2.1890000000000001</v>
      </c>
      <c r="D24" s="246">
        <v>2.0859999999999999</v>
      </c>
      <c r="E24" s="73">
        <f t="shared" si="0"/>
        <v>-0.58885335769757874</v>
      </c>
      <c r="F24" s="49">
        <f t="shared" si="1"/>
        <v>-0.56855225311601143</v>
      </c>
      <c r="G24" s="253">
        <f>B24+Aug!G24</f>
        <v>12.8</v>
      </c>
      <c r="H24" s="253">
        <f>C24+Aug!H24</f>
        <v>15.515999999999998</v>
      </c>
      <c r="I24" s="250">
        <v>17.989000000000001</v>
      </c>
      <c r="J24" s="48">
        <f t="shared" si="2"/>
        <v>-0.17504511472028861</v>
      </c>
      <c r="K24" s="49">
        <f t="shared" si="3"/>
        <v>-0.28845405525598977</v>
      </c>
    </row>
    <row r="25" spans="1:11">
      <c r="A25" s="7" t="s">
        <v>19</v>
      </c>
      <c r="B25" s="321">
        <v>1.8</v>
      </c>
      <c r="C25" s="247">
        <v>1.6990000000000001</v>
      </c>
      <c r="D25" s="246">
        <v>1.776</v>
      </c>
      <c r="E25" s="73">
        <f t="shared" si="0"/>
        <v>5.9446733372572114E-2</v>
      </c>
      <c r="F25" s="49">
        <f t="shared" si="1"/>
        <v>1.3513513513513598E-2</v>
      </c>
      <c r="G25" s="253">
        <f>B25+Aug!G25</f>
        <v>10.400000000000002</v>
      </c>
      <c r="H25" s="253">
        <f>C25+Aug!H25</f>
        <v>10.641</v>
      </c>
      <c r="I25" s="250">
        <v>10.837999999999999</v>
      </c>
      <c r="J25" s="48">
        <f t="shared" si="2"/>
        <v>-2.2648247345174122E-2</v>
      </c>
      <c r="K25" s="49">
        <f t="shared" si="3"/>
        <v>-4.041336039859722E-2</v>
      </c>
    </row>
    <row r="26" spans="1:11">
      <c r="A26" s="7"/>
      <c r="B26" s="321"/>
      <c r="C26" s="247">
        <v>0</v>
      </c>
      <c r="D26" s="246">
        <v>0</v>
      </c>
      <c r="E26" s="73"/>
      <c r="F26" s="49"/>
      <c r="G26" s="253"/>
      <c r="H26" s="253"/>
      <c r="I26" s="250"/>
      <c r="J26" s="48"/>
      <c r="K26" s="49"/>
    </row>
    <row r="27" spans="1:11">
      <c r="A27" s="7" t="s">
        <v>20</v>
      </c>
      <c r="B27" s="321">
        <f>SUM(B28:B33)</f>
        <v>6.3000000000000007</v>
      </c>
      <c r="C27" s="247">
        <v>5.1760000000000002</v>
      </c>
      <c r="D27" s="246">
        <v>5.2869999999999999</v>
      </c>
      <c r="E27" s="73">
        <f t="shared" si="0"/>
        <v>0.21715610510046379</v>
      </c>
      <c r="F27" s="49">
        <f t="shared" si="1"/>
        <v>0.19160204274635917</v>
      </c>
      <c r="G27" s="253">
        <f>B27+Aug!G27</f>
        <v>50.099999999999994</v>
      </c>
      <c r="H27" s="253">
        <f>C27+Aug!H27</f>
        <v>44.556000000000004</v>
      </c>
      <c r="I27" s="250">
        <v>46.865000000000002</v>
      </c>
      <c r="J27" s="48">
        <f t="shared" si="2"/>
        <v>0.12442768650686742</v>
      </c>
      <c r="K27" s="49">
        <f t="shared" si="3"/>
        <v>6.9028059319321322E-2</v>
      </c>
    </row>
    <row r="28" spans="1:11">
      <c r="A28" s="7" t="s">
        <v>21</v>
      </c>
      <c r="B28" s="321">
        <v>2.8</v>
      </c>
      <c r="C28" s="247">
        <v>2.5739999999999998</v>
      </c>
      <c r="D28" s="246">
        <v>2.2469999999999999</v>
      </c>
      <c r="E28" s="73">
        <f t="shared" si="0"/>
        <v>8.7801087801087752E-2</v>
      </c>
      <c r="F28" s="49">
        <f t="shared" si="1"/>
        <v>0.24610591900311518</v>
      </c>
      <c r="G28" s="253">
        <f>B28+Aug!G28</f>
        <v>18.400000000000002</v>
      </c>
      <c r="H28" s="253">
        <f>C28+Aug!H28</f>
        <v>14.551000000000002</v>
      </c>
      <c r="I28" s="250">
        <v>14.744999999999999</v>
      </c>
      <c r="J28" s="48">
        <f t="shared" si="2"/>
        <v>0.26451790254965291</v>
      </c>
      <c r="K28" s="49">
        <f t="shared" si="3"/>
        <v>0.24788063750423883</v>
      </c>
    </row>
    <row r="29" spans="1:11">
      <c r="A29" s="7" t="s">
        <v>22</v>
      </c>
      <c r="B29" s="321">
        <v>0.2</v>
      </c>
      <c r="C29" s="247">
        <v>0.17699999999999999</v>
      </c>
      <c r="D29" s="246">
        <v>0.13300000000000001</v>
      </c>
      <c r="E29" s="73">
        <f t="shared" si="0"/>
        <v>0.12994350282485878</v>
      </c>
      <c r="F29" s="49">
        <f t="shared" si="1"/>
        <v>0.50375939849624052</v>
      </c>
      <c r="G29" s="253">
        <f>B29+Aug!G29</f>
        <v>6.3</v>
      </c>
      <c r="H29" s="253">
        <f>C29+Aug!H29</f>
        <v>8.2629999999999999</v>
      </c>
      <c r="I29" s="250">
        <v>5.6929999999999996</v>
      </c>
      <c r="J29" s="48">
        <f t="shared" si="2"/>
        <v>-0.23756504901367548</v>
      </c>
      <c r="K29" s="49">
        <f t="shared" si="3"/>
        <v>0.10662216757421406</v>
      </c>
    </row>
    <row r="30" spans="1:11">
      <c r="A30" s="7" t="s">
        <v>23</v>
      </c>
      <c r="B30" s="321">
        <v>0.2</v>
      </c>
      <c r="C30" s="247">
        <v>0.14499999999999999</v>
      </c>
      <c r="D30" s="246">
        <v>0.16200000000000001</v>
      </c>
      <c r="E30" s="73">
        <f t="shared" si="0"/>
        <v>0.3793103448275863</v>
      </c>
      <c r="F30" s="49">
        <f t="shared" si="1"/>
        <v>0.23456790123456783</v>
      </c>
      <c r="G30" s="253">
        <f>B30+Aug!G30</f>
        <v>2.4000000000000004</v>
      </c>
      <c r="H30" s="253">
        <f>C30+Aug!H30</f>
        <v>2.2719999999999998</v>
      </c>
      <c r="I30" s="250">
        <v>2.6389999999999998</v>
      </c>
      <c r="J30" s="48">
        <f t="shared" si="2"/>
        <v>5.6338028169014231E-2</v>
      </c>
      <c r="K30" s="49">
        <f t="shared" si="3"/>
        <v>-9.0564607805986963E-2</v>
      </c>
    </row>
    <row r="31" spans="1:11">
      <c r="A31" s="6" t="s">
        <v>24</v>
      </c>
      <c r="B31" s="321">
        <v>0.3</v>
      </c>
      <c r="C31" s="247">
        <v>0.311</v>
      </c>
      <c r="D31" s="246">
        <v>0.437</v>
      </c>
      <c r="E31" s="73">
        <f t="shared" si="0"/>
        <v>-3.5369774919614128E-2</v>
      </c>
      <c r="F31" s="49">
        <f t="shared" si="1"/>
        <v>-0.31350114416475972</v>
      </c>
      <c r="G31" s="253">
        <f>B31+Aug!G31</f>
        <v>3.7999999999999994</v>
      </c>
      <c r="H31" s="253">
        <f>C31+Aug!H31</f>
        <v>3.6130000000000004</v>
      </c>
      <c r="I31" s="250">
        <v>6.83</v>
      </c>
      <c r="J31" s="48">
        <f t="shared" si="2"/>
        <v>5.1757542208690444E-2</v>
      </c>
      <c r="K31" s="49">
        <f t="shared" si="3"/>
        <v>-0.44363103953147887</v>
      </c>
    </row>
    <row r="32" spans="1:11">
      <c r="A32" s="6" t="s">
        <v>25</v>
      </c>
      <c r="B32" s="321">
        <v>0.2</v>
      </c>
      <c r="C32" s="247">
        <v>0.38</v>
      </c>
      <c r="D32" s="246">
        <v>0.222</v>
      </c>
      <c r="E32" s="73">
        <f t="shared" si="0"/>
        <v>-0.47368421052631582</v>
      </c>
      <c r="F32" s="49">
        <f t="shared" si="1"/>
        <v>-9.9099099099099086E-2</v>
      </c>
      <c r="G32" s="253">
        <f>B32+Aug!G32</f>
        <v>2.3000000000000003</v>
      </c>
      <c r="H32" s="253">
        <f>C32+Aug!H32</f>
        <v>2.6120000000000001</v>
      </c>
      <c r="I32" s="250">
        <v>2.29</v>
      </c>
      <c r="J32" s="48">
        <f t="shared" si="2"/>
        <v>-0.11944869831546701</v>
      </c>
      <c r="K32" s="49">
        <f t="shared" si="3"/>
        <v>4.366812227074357E-3</v>
      </c>
    </row>
    <row r="33" spans="1:11">
      <c r="A33" s="7" t="s">
        <v>19</v>
      </c>
      <c r="B33" s="321">
        <v>2.6</v>
      </c>
      <c r="C33" s="247">
        <v>1.589</v>
      </c>
      <c r="D33" s="246">
        <v>2.0859999999999999</v>
      </c>
      <c r="E33" s="73">
        <f t="shared" si="0"/>
        <v>0.63624921334172435</v>
      </c>
      <c r="F33" s="49">
        <f t="shared" si="1"/>
        <v>0.24640460210930026</v>
      </c>
      <c r="G33" s="253">
        <f>B33+Aug!G33</f>
        <v>16.8</v>
      </c>
      <c r="H33" s="253">
        <f>C33+Aug!H33</f>
        <v>13.245000000000001</v>
      </c>
      <c r="I33" s="250">
        <v>14.667999999999999</v>
      </c>
      <c r="J33" s="48">
        <f t="shared" si="2"/>
        <v>0.26840317100792754</v>
      </c>
      <c r="K33" s="49">
        <f t="shared" si="3"/>
        <v>0.14535042268884668</v>
      </c>
    </row>
    <row r="34" spans="1:11">
      <c r="A34" s="2"/>
      <c r="B34" s="321"/>
      <c r="C34" s="247">
        <v>0</v>
      </c>
      <c r="D34" s="246">
        <v>0</v>
      </c>
      <c r="E34" s="73"/>
      <c r="F34" s="49"/>
      <c r="G34" s="253"/>
      <c r="H34" s="253"/>
      <c r="I34" s="250"/>
      <c r="J34" s="48"/>
      <c r="K34" s="49"/>
    </row>
    <row r="35" spans="1:11">
      <c r="A35" s="7" t="s">
        <v>26</v>
      </c>
      <c r="B35" s="321">
        <f>B36+SUM(B41:B51)+SUM(B54:B57)+SUM(B64:B77)</f>
        <v>161.79999999999998</v>
      </c>
      <c r="C35" s="247">
        <v>155.816</v>
      </c>
      <c r="D35" s="246">
        <v>131.94800000000001</v>
      </c>
      <c r="E35" s="73">
        <f t="shared" si="0"/>
        <v>3.8404271705087867E-2</v>
      </c>
      <c r="F35" s="49">
        <f t="shared" si="1"/>
        <v>0.22624064025222035</v>
      </c>
      <c r="G35" s="253">
        <f>B35+Aug!G35</f>
        <v>1398.5</v>
      </c>
      <c r="H35" s="253">
        <f>C35+Aug!H35</f>
        <v>1186.2370000000001</v>
      </c>
      <c r="I35" s="250">
        <v>1229.25</v>
      </c>
      <c r="J35" s="48">
        <f t="shared" si="2"/>
        <v>0.17893810427427237</v>
      </c>
      <c r="K35" s="49">
        <f t="shared" si="3"/>
        <v>0.13768558063860081</v>
      </c>
    </row>
    <row r="36" spans="1:11">
      <c r="A36" s="7" t="s">
        <v>27</v>
      </c>
      <c r="B36" s="321">
        <f>SUM(B37:B40)</f>
        <v>5.8</v>
      </c>
      <c r="C36" s="247">
        <v>5.5359999999999996</v>
      </c>
      <c r="D36" s="246">
        <v>6.4589999999999996</v>
      </c>
      <c r="E36" s="73">
        <f t="shared" si="0"/>
        <v>4.7687861271676457E-2</v>
      </c>
      <c r="F36" s="49">
        <f t="shared" si="1"/>
        <v>-0.10202817773649164</v>
      </c>
      <c r="G36" s="253">
        <f>B36+Aug!G36</f>
        <v>50.6</v>
      </c>
      <c r="H36" s="253">
        <f>C36+Aug!H36</f>
        <v>46.02</v>
      </c>
      <c r="I36" s="250">
        <v>50.529000000000003</v>
      </c>
      <c r="J36" s="48">
        <f t="shared" si="2"/>
        <v>9.9521946979574061E-2</v>
      </c>
      <c r="K36" s="49">
        <f t="shared" si="3"/>
        <v>1.4051336856062413E-3</v>
      </c>
    </row>
    <row r="37" spans="1:11">
      <c r="A37" s="7" t="s">
        <v>28</v>
      </c>
      <c r="B37" s="321">
        <v>0.9</v>
      </c>
      <c r="C37" s="247">
        <v>0.82699999999999996</v>
      </c>
      <c r="D37" s="246">
        <v>1.0189999999999999</v>
      </c>
      <c r="E37" s="73">
        <f t="shared" si="0"/>
        <v>8.8270858524788443E-2</v>
      </c>
      <c r="F37" s="49">
        <f t="shared" si="1"/>
        <v>-0.11678115799803723</v>
      </c>
      <c r="G37" s="253">
        <f>B37+Aug!G37</f>
        <v>10.100000000000001</v>
      </c>
      <c r="H37" s="253">
        <f>C37+Aug!H37</f>
        <v>9.0730000000000004</v>
      </c>
      <c r="I37" s="250">
        <v>8.0050000000000008</v>
      </c>
      <c r="J37" s="48">
        <f t="shared" si="2"/>
        <v>0.11319299019067564</v>
      </c>
      <c r="K37" s="49">
        <f t="shared" si="3"/>
        <v>0.26171143035602751</v>
      </c>
    </row>
    <row r="38" spans="1:11">
      <c r="A38" s="7" t="s">
        <v>29</v>
      </c>
      <c r="B38" s="321">
        <v>2</v>
      </c>
      <c r="C38" s="247">
        <v>2.0169999999999999</v>
      </c>
      <c r="D38" s="246">
        <v>2.0409999999999999</v>
      </c>
      <c r="E38" s="73">
        <f t="shared" si="0"/>
        <v>-8.4283589489340116E-3</v>
      </c>
      <c r="F38" s="49">
        <f t="shared" si="1"/>
        <v>-2.0088192062714283E-2</v>
      </c>
      <c r="G38" s="253">
        <f>B38+Aug!G38</f>
        <v>17.899999999999999</v>
      </c>
      <c r="H38" s="253">
        <f>C38+Aug!H38</f>
        <v>15.368999999999998</v>
      </c>
      <c r="I38" s="250">
        <v>17.63</v>
      </c>
      <c r="J38" s="48">
        <f t="shared" si="2"/>
        <v>0.16468215238467043</v>
      </c>
      <c r="K38" s="49">
        <f t="shared" si="3"/>
        <v>1.5314804310833763E-2</v>
      </c>
    </row>
    <row r="39" spans="1:11">
      <c r="A39" s="7" t="s">
        <v>30</v>
      </c>
      <c r="B39" s="321">
        <v>1.4</v>
      </c>
      <c r="C39" s="247">
        <v>1.274</v>
      </c>
      <c r="D39" s="246">
        <v>1.8480000000000001</v>
      </c>
      <c r="E39" s="73">
        <f t="shared" si="0"/>
        <v>9.8901098901098772E-2</v>
      </c>
      <c r="F39" s="49">
        <f t="shared" si="1"/>
        <v>-0.24242424242424254</v>
      </c>
      <c r="G39" s="253">
        <f>B39+Aug!G39</f>
        <v>9.1999999999999993</v>
      </c>
      <c r="H39" s="253">
        <f>C39+Aug!H39</f>
        <v>8.5579999999999998</v>
      </c>
      <c r="I39" s="250">
        <v>10.089</v>
      </c>
      <c r="J39" s="48">
        <f t="shared" si="2"/>
        <v>7.5017527459686706E-2</v>
      </c>
      <c r="K39" s="49">
        <f t="shared" si="3"/>
        <v>-8.811576965011414E-2</v>
      </c>
    </row>
    <row r="40" spans="1:11">
      <c r="A40" s="7" t="s">
        <v>31</v>
      </c>
      <c r="B40" s="321">
        <v>1.5</v>
      </c>
      <c r="C40" s="247">
        <v>1.4179999999999999</v>
      </c>
      <c r="D40" s="246">
        <v>1.516</v>
      </c>
      <c r="E40" s="73">
        <f t="shared" si="0"/>
        <v>5.7827926657263884E-2</v>
      </c>
      <c r="F40" s="49">
        <f t="shared" si="1"/>
        <v>-1.0554089709762571E-2</v>
      </c>
      <c r="G40" s="253">
        <f>B40+Aug!G40</f>
        <v>13.4</v>
      </c>
      <c r="H40" s="253">
        <f>C40+Aug!H40</f>
        <v>12.759999999999998</v>
      </c>
      <c r="I40" s="250">
        <v>14.478</v>
      </c>
      <c r="J40" s="48">
        <f t="shared" si="2"/>
        <v>5.0156739811912487E-2</v>
      </c>
      <c r="K40" s="49">
        <f t="shared" si="3"/>
        <v>-7.4457798038403022E-2</v>
      </c>
    </row>
    <row r="41" spans="1:11">
      <c r="A41" s="7" t="s">
        <v>32</v>
      </c>
      <c r="B41" s="321">
        <v>15.1</v>
      </c>
      <c r="C41" s="247">
        <v>16.681000000000001</v>
      </c>
      <c r="D41" s="246">
        <v>14.007999999999999</v>
      </c>
      <c r="E41" s="73">
        <f t="shared" si="0"/>
        <v>-9.4778490498171664E-2</v>
      </c>
      <c r="F41" s="49">
        <f t="shared" si="1"/>
        <v>7.7955454026270798E-2</v>
      </c>
      <c r="G41" s="253">
        <f>B41+Aug!G41</f>
        <v>146.30000000000001</v>
      </c>
      <c r="H41" s="253">
        <f>C41+Aug!H41</f>
        <v>135.738</v>
      </c>
      <c r="I41" s="250">
        <v>132.17699999999999</v>
      </c>
      <c r="J41" s="48">
        <f t="shared" si="2"/>
        <v>7.7811666592995321E-2</v>
      </c>
      <c r="K41" s="49">
        <f t="shared" si="3"/>
        <v>0.1068491492468433</v>
      </c>
    </row>
    <row r="42" spans="1:11">
      <c r="A42" s="7" t="s">
        <v>33</v>
      </c>
      <c r="B42" s="321">
        <v>0.8</v>
      </c>
      <c r="C42" s="247">
        <v>1.2609999999999999</v>
      </c>
      <c r="D42" s="246">
        <v>0.73099999999999998</v>
      </c>
      <c r="E42" s="73">
        <f t="shared" si="0"/>
        <v>-0.36558287073750984</v>
      </c>
      <c r="F42" s="49">
        <f t="shared" si="1"/>
        <v>9.4391244870041024E-2</v>
      </c>
      <c r="G42" s="253">
        <f>B42+Aug!G42</f>
        <v>6.7</v>
      </c>
      <c r="H42" s="253">
        <f>C42+Aug!H42</f>
        <v>6.8949999999999996</v>
      </c>
      <c r="I42" s="250">
        <v>5.8929999999999998</v>
      </c>
      <c r="J42" s="48">
        <f t="shared" si="2"/>
        <v>-2.8281363306743912E-2</v>
      </c>
      <c r="K42" s="49">
        <f t="shared" si="3"/>
        <v>0.13694213473612771</v>
      </c>
    </row>
    <row r="43" spans="1:11">
      <c r="A43" s="7" t="s">
        <v>34</v>
      </c>
      <c r="B43" s="321">
        <v>4.5999999999999996</v>
      </c>
      <c r="C43" s="247">
        <v>4.4119999999999999</v>
      </c>
      <c r="D43" s="246">
        <v>3.589</v>
      </c>
      <c r="E43" s="73">
        <f t="shared" si="0"/>
        <v>4.261106074342691E-2</v>
      </c>
      <c r="F43" s="49">
        <f t="shared" si="1"/>
        <v>0.28169406519921969</v>
      </c>
      <c r="G43" s="253">
        <f>B43+Aug!G43</f>
        <v>44.800000000000004</v>
      </c>
      <c r="H43" s="253">
        <f>C43+Aug!H43</f>
        <v>36.609000000000002</v>
      </c>
      <c r="I43" s="250">
        <v>35.767000000000003</v>
      </c>
      <c r="J43" s="48">
        <f t="shared" si="2"/>
        <v>0.22374279548744846</v>
      </c>
      <c r="K43" s="49">
        <f t="shared" si="3"/>
        <v>0.25255123437805804</v>
      </c>
    </row>
    <row r="44" spans="1:11">
      <c r="A44" s="7" t="s">
        <v>35</v>
      </c>
      <c r="B44" s="321">
        <v>2.7</v>
      </c>
      <c r="C44" s="247">
        <v>3.2530000000000001</v>
      </c>
      <c r="D44" s="246">
        <v>2.9039999999999999</v>
      </c>
      <c r="E44" s="73">
        <f t="shared" si="0"/>
        <v>-0.16999692591454041</v>
      </c>
      <c r="F44" s="49">
        <f t="shared" si="1"/>
        <v>-7.0247933884297398E-2</v>
      </c>
      <c r="G44" s="253">
        <f>B44+Aug!G44</f>
        <v>25.8</v>
      </c>
      <c r="H44" s="253">
        <f>C44+Aug!H44</f>
        <v>24.440999999999999</v>
      </c>
      <c r="I44" s="250">
        <v>24.817</v>
      </c>
      <c r="J44" s="48">
        <f t="shared" si="2"/>
        <v>5.5603289554437385E-2</v>
      </c>
      <c r="K44" s="49">
        <f t="shared" si="3"/>
        <v>3.960994479590596E-2</v>
      </c>
    </row>
    <row r="45" spans="1:11">
      <c r="A45" s="6" t="s">
        <v>36</v>
      </c>
      <c r="B45" s="321">
        <v>15.1</v>
      </c>
      <c r="C45" s="247">
        <v>16.202000000000002</v>
      </c>
      <c r="D45" s="246">
        <v>15.256</v>
      </c>
      <c r="E45" s="73">
        <f t="shared" si="0"/>
        <v>-6.8016294284656387E-2</v>
      </c>
      <c r="F45" s="49">
        <f t="shared" si="1"/>
        <v>-1.0225485055060379E-2</v>
      </c>
      <c r="G45" s="253">
        <f>B45+Aug!G45</f>
        <v>226.1</v>
      </c>
      <c r="H45" s="253">
        <f>C45+Aug!H45</f>
        <v>216.10599999999999</v>
      </c>
      <c r="I45" s="250">
        <v>228.071</v>
      </c>
      <c r="J45" s="48">
        <f t="shared" si="2"/>
        <v>4.624582380868647E-2</v>
      </c>
      <c r="K45" s="49">
        <f t="shared" si="3"/>
        <v>-8.6420456787579258E-3</v>
      </c>
    </row>
    <row r="46" spans="1:11">
      <c r="A46" s="6" t="s">
        <v>37</v>
      </c>
      <c r="B46" s="321">
        <v>7.5</v>
      </c>
      <c r="C46" s="247">
        <v>7.3719999999999999</v>
      </c>
      <c r="D46" s="246">
        <v>5.4850000000000003</v>
      </c>
      <c r="E46" s="73">
        <f t="shared" si="0"/>
        <v>1.736299511665762E-2</v>
      </c>
      <c r="F46" s="49">
        <f t="shared" si="1"/>
        <v>0.36736554238833175</v>
      </c>
      <c r="G46" s="253">
        <f>B46+Aug!G46</f>
        <v>72.899999999999991</v>
      </c>
      <c r="H46" s="253">
        <f>C46+Aug!H46</f>
        <v>58.236000000000004</v>
      </c>
      <c r="I46" s="250">
        <v>65.435000000000002</v>
      </c>
      <c r="J46" s="48">
        <f t="shared" si="2"/>
        <v>0.25180300844838222</v>
      </c>
      <c r="K46" s="49">
        <f t="shared" si="3"/>
        <v>0.11408267746618761</v>
      </c>
    </row>
    <row r="47" spans="1:11">
      <c r="A47" s="7" t="s">
        <v>38</v>
      </c>
      <c r="B47" s="321">
        <v>4.2</v>
      </c>
      <c r="C47" s="247">
        <v>4.1619999999999999</v>
      </c>
      <c r="D47" s="246">
        <v>3.415</v>
      </c>
      <c r="E47" s="73">
        <f t="shared" si="0"/>
        <v>9.1302258529553093E-3</v>
      </c>
      <c r="F47" s="49">
        <f t="shared" si="1"/>
        <v>0.22986822840409959</v>
      </c>
      <c r="G47" s="253">
        <f>B47+Aug!G47</f>
        <v>33.9</v>
      </c>
      <c r="H47" s="253">
        <f>C47+Aug!H47</f>
        <v>29.549999999999997</v>
      </c>
      <c r="I47" s="250">
        <v>28.638000000000002</v>
      </c>
      <c r="J47" s="48">
        <f t="shared" si="2"/>
        <v>0.14720812182741128</v>
      </c>
      <c r="K47" s="49">
        <f t="shared" si="3"/>
        <v>0.18374188141629988</v>
      </c>
    </row>
    <row r="48" spans="1:11">
      <c r="A48" s="7" t="s">
        <v>39</v>
      </c>
      <c r="B48" s="320">
        <v>18</v>
      </c>
      <c r="C48" s="247">
        <v>17.158000000000001</v>
      </c>
      <c r="D48" s="246">
        <v>13.048</v>
      </c>
      <c r="E48" s="73">
        <f t="shared" si="0"/>
        <v>4.9073318568597646E-2</v>
      </c>
      <c r="F48" s="49">
        <f t="shared" si="1"/>
        <v>0.37952176578786023</v>
      </c>
      <c r="G48" s="253">
        <f>B48+Aug!G48</f>
        <v>146.69999999999999</v>
      </c>
      <c r="H48" s="253">
        <f>C48+Aug!H48</f>
        <v>117.04500000000002</v>
      </c>
      <c r="I48" s="250">
        <v>114.205</v>
      </c>
      <c r="J48" s="48">
        <f t="shared" si="2"/>
        <v>0.25336409073433264</v>
      </c>
      <c r="K48" s="49">
        <f t="shared" si="3"/>
        <v>0.28453220086686204</v>
      </c>
    </row>
    <row r="49" spans="1:11">
      <c r="A49" s="7" t="s">
        <v>40</v>
      </c>
      <c r="B49" s="321">
        <v>2</v>
      </c>
      <c r="C49" s="247">
        <v>2.0529999999999999</v>
      </c>
      <c r="D49" s="246">
        <v>1.75</v>
      </c>
      <c r="E49" s="73">
        <f t="shared" si="0"/>
        <v>-2.5815879201169012E-2</v>
      </c>
      <c r="F49" s="49">
        <f t="shared" si="1"/>
        <v>0.14285714285714279</v>
      </c>
      <c r="G49" s="253">
        <f>B49+Aug!G49</f>
        <v>20.800000000000004</v>
      </c>
      <c r="H49" s="253">
        <f>C49+Aug!H49</f>
        <v>17.228999999999999</v>
      </c>
      <c r="I49" s="250">
        <v>17.369</v>
      </c>
      <c r="J49" s="48">
        <f t="shared" si="2"/>
        <v>0.20726681757501919</v>
      </c>
      <c r="K49" s="49">
        <f t="shared" si="3"/>
        <v>0.197535839714434</v>
      </c>
    </row>
    <row r="50" spans="1:11">
      <c r="A50" s="6" t="s">
        <v>41</v>
      </c>
      <c r="B50" s="321">
        <v>5.6</v>
      </c>
      <c r="C50" s="247">
        <v>4.5549999999999997</v>
      </c>
      <c r="D50" s="246">
        <v>3.1070000000000002</v>
      </c>
      <c r="E50" s="73">
        <f t="shared" si="0"/>
        <v>0.22941822173435789</v>
      </c>
      <c r="F50" s="49">
        <f t="shared" si="1"/>
        <v>0.8023817186997102</v>
      </c>
      <c r="G50" s="253">
        <f>B50+Aug!G50</f>
        <v>44.000000000000007</v>
      </c>
      <c r="H50" s="253">
        <f>C50+Aug!H50</f>
        <v>31.959</v>
      </c>
      <c r="I50" s="250">
        <v>32.683999999999997</v>
      </c>
      <c r="J50" s="48">
        <f t="shared" si="2"/>
        <v>0.37676397884789914</v>
      </c>
      <c r="K50" s="49">
        <f t="shared" si="3"/>
        <v>0.34622445233141641</v>
      </c>
    </row>
    <row r="51" spans="1:11">
      <c r="A51" s="7" t="s">
        <v>42</v>
      </c>
      <c r="B51" s="321">
        <v>1.2</v>
      </c>
      <c r="C51" s="247">
        <v>1.268</v>
      </c>
      <c r="D51" s="246">
        <v>0.81599999999999995</v>
      </c>
      <c r="E51" s="73">
        <f t="shared" si="0"/>
        <v>-5.362776025236593E-2</v>
      </c>
      <c r="F51" s="49">
        <f t="shared" si="1"/>
        <v>0.47058823529411775</v>
      </c>
      <c r="G51" s="253">
        <f>B51+Aug!G51</f>
        <v>8.1999999999999993</v>
      </c>
      <c r="H51" s="253">
        <f>C51+Aug!H51</f>
        <v>6.4889999999999999</v>
      </c>
      <c r="I51" s="250">
        <v>6.3760000000000003</v>
      </c>
      <c r="J51" s="48">
        <f t="shared" si="2"/>
        <v>0.26367699183233162</v>
      </c>
      <c r="K51" s="49">
        <f t="shared" si="3"/>
        <v>0.28607277289836874</v>
      </c>
    </row>
    <row r="52" spans="1:11">
      <c r="A52" s="7"/>
      <c r="B52" s="321"/>
      <c r="C52" s="247">
        <v>0</v>
      </c>
      <c r="D52" s="246">
        <v>0</v>
      </c>
      <c r="E52" s="73"/>
      <c r="F52" s="49"/>
      <c r="G52" s="253"/>
      <c r="H52" s="253"/>
      <c r="I52" s="250"/>
      <c r="J52" s="48"/>
      <c r="K52" s="49"/>
    </row>
    <row r="53" spans="1:11">
      <c r="A53" s="7" t="s">
        <v>43</v>
      </c>
      <c r="B53" s="321">
        <f>SUM(B54:B60)</f>
        <v>53.9</v>
      </c>
      <c r="C53" s="247">
        <v>50.866</v>
      </c>
      <c r="D53" s="246">
        <v>44.524000000000001</v>
      </c>
      <c r="E53" s="73">
        <f t="shared" si="0"/>
        <v>5.9646915424841795E-2</v>
      </c>
      <c r="F53" s="49">
        <f t="shared" si="1"/>
        <v>0.21058305632917063</v>
      </c>
      <c r="G53" s="253">
        <f>B53+Aug!G53</f>
        <v>374.69999999999993</v>
      </c>
      <c r="H53" s="253">
        <f>C53+Aug!H53</f>
        <v>307.61699999999996</v>
      </c>
      <c r="I53" s="250">
        <v>337.22199999999998</v>
      </c>
      <c r="J53" s="48">
        <f t="shared" si="2"/>
        <v>0.21807312339695129</v>
      </c>
      <c r="K53" s="49">
        <f t="shared" si="3"/>
        <v>0.11113747027180887</v>
      </c>
    </row>
    <row r="54" spans="1:11">
      <c r="A54" s="7" t="s">
        <v>44</v>
      </c>
      <c r="B54" s="321">
        <v>28.9</v>
      </c>
      <c r="C54" s="247">
        <v>26.59</v>
      </c>
      <c r="D54" s="246">
        <v>24.707000000000001</v>
      </c>
      <c r="E54" s="73">
        <f t="shared" si="0"/>
        <v>8.6874764949228966E-2</v>
      </c>
      <c r="F54" s="49">
        <f t="shared" si="1"/>
        <v>0.16970898935524326</v>
      </c>
      <c r="G54" s="253">
        <f>B54+Aug!G54</f>
        <v>227.9</v>
      </c>
      <c r="H54" s="253">
        <f>C54+Aug!H54</f>
        <v>181.68600000000001</v>
      </c>
      <c r="I54" s="250">
        <v>225.524</v>
      </c>
      <c r="J54" s="48">
        <f t="shared" si="2"/>
        <v>0.25436192111665168</v>
      </c>
      <c r="K54" s="49">
        <f t="shared" si="3"/>
        <v>1.0535464074777012E-2</v>
      </c>
    </row>
    <row r="55" spans="1:11">
      <c r="A55" s="7" t="s">
        <v>45</v>
      </c>
      <c r="B55" s="321">
        <v>18.5</v>
      </c>
      <c r="C55" s="247">
        <v>19.085000000000001</v>
      </c>
      <c r="D55" s="246">
        <v>15.667</v>
      </c>
      <c r="E55" s="73">
        <f t="shared" si="0"/>
        <v>-3.0652344773382301E-2</v>
      </c>
      <c r="F55" s="49">
        <f t="shared" si="1"/>
        <v>0.18082593987361983</v>
      </c>
      <c r="G55" s="253">
        <f>B55+Aug!G55</f>
        <v>106.9</v>
      </c>
      <c r="H55" s="253">
        <f>C55+Aug!H55</f>
        <v>95.548000000000002</v>
      </c>
      <c r="I55" s="250">
        <v>84.36</v>
      </c>
      <c r="J55" s="48">
        <f t="shared" si="2"/>
        <v>0.11880939423117187</v>
      </c>
      <c r="K55" s="49">
        <f t="shared" si="3"/>
        <v>0.26718824087245152</v>
      </c>
    </row>
    <row r="56" spans="1:11">
      <c r="A56" s="7" t="s">
        <v>46</v>
      </c>
      <c r="B56" s="321">
        <v>3.6</v>
      </c>
      <c r="C56" s="247">
        <v>2.93</v>
      </c>
      <c r="D56" s="246">
        <v>2.31</v>
      </c>
      <c r="E56" s="73">
        <f t="shared" si="0"/>
        <v>0.22866894197952226</v>
      </c>
      <c r="F56" s="49">
        <f t="shared" si="1"/>
        <v>0.55844155844155852</v>
      </c>
      <c r="G56" s="253">
        <f>B56+Aug!G56</f>
        <v>18.000000000000004</v>
      </c>
      <c r="H56" s="253">
        <f>C56+Aug!H56</f>
        <v>16.154</v>
      </c>
      <c r="I56" s="250">
        <v>11.956</v>
      </c>
      <c r="J56" s="48">
        <f t="shared" si="2"/>
        <v>0.11427510214188463</v>
      </c>
      <c r="K56" s="49">
        <f t="shared" si="3"/>
        <v>0.50552024088323888</v>
      </c>
    </row>
    <row r="57" spans="1:11">
      <c r="A57" s="7" t="s">
        <v>47</v>
      </c>
      <c r="B57" s="321">
        <v>1.1000000000000001</v>
      </c>
      <c r="C57" s="247">
        <v>1.0589999999999999</v>
      </c>
      <c r="D57" s="246">
        <v>0.83899999999999997</v>
      </c>
      <c r="E57" s="73">
        <f t="shared" si="0"/>
        <v>3.8715769593956617E-2</v>
      </c>
      <c r="F57" s="49">
        <f t="shared" si="1"/>
        <v>0.31108462455303942</v>
      </c>
      <c r="G57" s="253">
        <f>B57+Aug!G57</f>
        <v>7.8000000000000007</v>
      </c>
      <c r="H57" s="253">
        <f>C57+Aug!H57</f>
        <v>6.2770000000000001</v>
      </c>
      <c r="I57" s="250">
        <v>5.7439999999999998</v>
      </c>
      <c r="J57" s="48">
        <f t="shared" si="2"/>
        <v>0.24263183049227344</v>
      </c>
      <c r="K57" s="49">
        <f t="shared" si="3"/>
        <v>0.35793871866295279</v>
      </c>
    </row>
    <row r="58" spans="1:11">
      <c r="A58" s="7" t="s">
        <v>48</v>
      </c>
      <c r="B58" s="321">
        <v>0.4</v>
      </c>
      <c r="C58" s="247">
        <v>0.44</v>
      </c>
      <c r="D58" s="246">
        <v>0.27200000000000002</v>
      </c>
      <c r="E58" s="73">
        <f t="shared" si="0"/>
        <v>-9.0909090909090828E-2</v>
      </c>
      <c r="F58" s="49">
        <f t="shared" si="1"/>
        <v>0.47058823529411753</v>
      </c>
      <c r="G58" s="253">
        <f>B58+Aug!G58</f>
        <v>3</v>
      </c>
      <c r="H58" s="253">
        <f>C58+Aug!H58</f>
        <v>3.04</v>
      </c>
      <c r="I58" s="250">
        <v>2.7370000000000001</v>
      </c>
      <c r="J58" s="48">
        <f t="shared" si="2"/>
        <v>-1.3157894736842146E-2</v>
      </c>
      <c r="K58" s="49">
        <f t="shared" si="3"/>
        <v>9.6090610157106182E-2</v>
      </c>
    </row>
    <row r="59" spans="1:11">
      <c r="A59" s="7" t="s">
        <v>87</v>
      </c>
      <c r="B59" s="321">
        <v>0.8</v>
      </c>
      <c r="C59" s="247">
        <v>0.68600000000000005</v>
      </c>
      <c r="D59" s="246">
        <v>0.64500000000000002</v>
      </c>
      <c r="E59" s="73">
        <f t="shared" si="0"/>
        <v>0.16618075801749277</v>
      </c>
      <c r="F59" s="49">
        <f t="shared" si="1"/>
        <v>0.24031007751937983</v>
      </c>
      <c r="G59" s="253">
        <f>B59+Aug!G59</f>
        <v>5.7</v>
      </c>
      <c r="H59" s="253">
        <f>C59+Aug!H59</f>
        <v>4.285000000000001</v>
      </c>
      <c r="I59" s="250">
        <v>6.008</v>
      </c>
      <c r="J59" s="48">
        <f t="shared" si="2"/>
        <v>0.33022170361726921</v>
      </c>
      <c r="K59" s="49">
        <f t="shared" si="3"/>
        <v>-5.1264980026631157E-2</v>
      </c>
    </row>
    <row r="60" spans="1:11">
      <c r="A60" s="7" t="s">
        <v>49</v>
      </c>
      <c r="B60" s="321">
        <v>0.6</v>
      </c>
      <c r="C60" s="247">
        <v>7.5999999999999998E-2</v>
      </c>
      <c r="D60" s="246">
        <v>8.4000000000000005E-2</v>
      </c>
      <c r="E60" s="73">
        <f t="shared" si="0"/>
        <v>6.8947368421052628</v>
      </c>
      <c r="F60" s="49">
        <f t="shared" si="1"/>
        <v>6.1428571428571423</v>
      </c>
      <c r="G60" s="253">
        <f>B60+Aug!G60</f>
        <v>5.3999999999999995</v>
      </c>
      <c r="H60" s="253">
        <f>C60+Aug!H60</f>
        <v>0.627</v>
      </c>
      <c r="I60" s="250">
        <v>0.89300000000000002</v>
      </c>
      <c r="J60" s="48">
        <f t="shared" si="2"/>
        <v>7.6124401913875595</v>
      </c>
      <c r="K60" s="49">
        <f t="shared" si="3"/>
        <v>5.0470324748040305</v>
      </c>
    </row>
    <row r="61" spans="1:11">
      <c r="A61" s="2"/>
      <c r="B61" s="321"/>
      <c r="C61" s="247">
        <v>0</v>
      </c>
      <c r="D61" s="246">
        <v>0</v>
      </c>
      <c r="E61" s="73"/>
      <c r="F61" s="49"/>
      <c r="G61" s="253"/>
      <c r="H61" s="253"/>
      <c r="I61" s="250"/>
      <c r="J61" s="48"/>
      <c r="K61" s="49"/>
    </row>
    <row r="62" spans="1:11">
      <c r="A62" s="7" t="s">
        <v>50</v>
      </c>
      <c r="B62" s="321">
        <v>0.8</v>
      </c>
      <c r="C62" s="247">
        <v>1.1679999999999999</v>
      </c>
      <c r="D62" s="246">
        <v>0.78800000000000003</v>
      </c>
      <c r="E62" s="73">
        <f t="shared" si="0"/>
        <v>-0.31506849315068486</v>
      </c>
      <c r="F62" s="49">
        <f t="shared" si="1"/>
        <v>1.5228426395939021E-2</v>
      </c>
      <c r="G62" s="253">
        <f>B62+Aug!G62</f>
        <v>8.6</v>
      </c>
      <c r="H62" s="253">
        <f>C62+Aug!H62</f>
        <v>9.6339999999999986</v>
      </c>
      <c r="I62" s="250">
        <v>7.1520000000000001</v>
      </c>
      <c r="J62" s="48">
        <f t="shared" si="2"/>
        <v>-0.10732821258044412</v>
      </c>
      <c r="K62" s="49">
        <f t="shared" si="3"/>
        <v>0.20246085011185677</v>
      </c>
    </row>
    <row r="63" spans="1:11">
      <c r="A63" s="7" t="s">
        <v>51</v>
      </c>
      <c r="B63" s="321">
        <v>0.3</v>
      </c>
      <c r="C63" s="247">
        <v>0.20200000000000001</v>
      </c>
      <c r="D63" s="246">
        <v>0.187</v>
      </c>
      <c r="E63" s="73">
        <f t="shared" si="0"/>
        <v>0.48514851485148491</v>
      </c>
      <c r="F63" s="49">
        <f t="shared" si="1"/>
        <v>0.60427807486631013</v>
      </c>
      <c r="G63" s="253">
        <f>B63+Aug!G63</f>
        <v>2.4</v>
      </c>
      <c r="H63" s="253">
        <f>C63+Aug!H63</f>
        <v>1.843</v>
      </c>
      <c r="I63" s="250">
        <v>1.8420000000000001</v>
      </c>
      <c r="J63" s="48">
        <f t="shared" si="2"/>
        <v>0.30222463374932174</v>
      </c>
      <c r="K63" s="49">
        <f t="shared" si="3"/>
        <v>0.30293159609120512</v>
      </c>
    </row>
    <row r="64" spans="1:11">
      <c r="A64" s="7" t="s">
        <v>52</v>
      </c>
      <c r="B64" s="321">
        <v>1.1000000000000001</v>
      </c>
      <c r="C64" s="247">
        <v>0.56699999999999995</v>
      </c>
      <c r="D64" s="246">
        <v>0.52300000000000002</v>
      </c>
      <c r="E64" s="73">
        <f t="shared" si="0"/>
        <v>0.94003527336860704</v>
      </c>
      <c r="F64" s="49">
        <f t="shared" si="1"/>
        <v>1.1032504780114722</v>
      </c>
      <c r="G64" s="253">
        <f>B64+Aug!G64</f>
        <v>11</v>
      </c>
      <c r="H64" s="253">
        <f>C64+Aug!H64</f>
        <v>7.8860000000000001</v>
      </c>
      <c r="I64" s="250">
        <v>5.8040000000000003</v>
      </c>
      <c r="J64" s="48">
        <f t="shared" si="2"/>
        <v>0.39487699721024594</v>
      </c>
      <c r="K64" s="49">
        <f t="shared" si="3"/>
        <v>0.89524465885596127</v>
      </c>
    </row>
    <row r="65" spans="1:11">
      <c r="A65" s="7" t="s">
        <v>53</v>
      </c>
      <c r="B65" s="321">
        <v>0.8</v>
      </c>
      <c r="C65" s="247">
        <v>0.73099999999999998</v>
      </c>
      <c r="D65" s="246">
        <v>0.44900000000000001</v>
      </c>
      <c r="E65" s="73">
        <f t="shared" si="0"/>
        <v>9.4391244870041024E-2</v>
      </c>
      <c r="F65" s="49">
        <f t="shared" si="1"/>
        <v>0.78173719376391992</v>
      </c>
      <c r="G65" s="253">
        <f>B65+Aug!G65</f>
        <v>7.8000000000000007</v>
      </c>
      <c r="H65" s="253">
        <f>C65+Aug!H65</f>
        <v>4.7210000000000001</v>
      </c>
      <c r="I65" s="250">
        <v>3.528</v>
      </c>
      <c r="J65" s="48">
        <f t="shared" si="2"/>
        <v>0.65219233213302275</v>
      </c>
      <c r="K65" s="49">
        <f t="shared" si="3"/>
        <v>1.2108843537414966</v>
      </c>
    </row>
    <row r="66" spans="1:11">
      <c r="A66" s="2"/>
      <c r="B66" s="321"/>
      <c r="C66" s="247">
        <v>0</v>
      </c>
      <c r="D66" s="246">
        <v>0</v>
      </c>
      <c r="E66" s="73"/>
      <c r="F66" s="49"/>
      <c r="G66" s="253"/>
      <c r="H66" s="253"/>
      <c r="I66" s="250"/>
      <c r="J66" s="48"/>
      <c r="K66" s="49"/>
    </row>
    <row r="67" spans="1:11">
      <c r="A67" s="7" t="s">
        <v>54</v>
      </c>
      <c r="B67" s="321">
        <v>8</v>
      </c>
      <c r="C67" s="247">
        <v>4.6970000000000001</v>
      </c>
      <c r="D67" s="246">
        <v>4.6829999999999998</v>
      </c>
      <c r="E67" s="73">
        <f t="shared" si="0"/>
        <v>0.70321481796891638</v>
      </c>
      <c r="F67" s="49">
        <f t="shared" si="1"/>
        <v>0.70830664104206709</v>
      </c>
      <c r="G67" s="253">
        <f>B67+Aug!G67</f>
        <v>54.7</v>
      </c>
      <c r="H67" s="253">
        <f>C67+Aug!H67</f>
        <v>36.329000000000001</v>
      </c>
      <c r="I67" s="250">
        <v>44.308999999999997</v>
      </c>
      <c r="J67" s="48">
        <f t="shared" si="2"/>
        <v>0.50568416416636852</v>
      </c>
      <c r="K67" s="49">
        <f t="shared" si="3"/>
        <v>0.23451217585592099</v>
      </c>
    </row>
    <row r="68" spans="1:11">
      <c r="A68" s="7" t="s">
        <v>55</v>
      </c>
      <c r="B68" s="321">
        <v>1.5</v>
      </c>
      <c r="C68" s="247">
        <v>1.4319999999999999</v>
      </c>
      <c r="D68" s="246">
        <v>0.94799999999999995</v>
      </c>
      <c r="E68" s="73">
        <f t="shared" si="0"/>
        <v>4.748603351955305E-2</v>
      </c>
      <c r="F68" s="49">
        <f t="shared" si="1"/>
        <v>0.58227848101265822</v>
      </c>
      <c r="G68" s="253">
        <f>B68+Aug!G68</f>
        <v>14.2</v>
      </c>
      <c r="H68" s="253">
        <f>C68+Aug!H68</f>
        <v>11.161999999999999</v>
      </c>
      <c r="I68" s="250">
        <v>11.294</v>
      </c>
      <c r="J68" s="48">
        <f t="shared" si="2"/>
        <v>0.27217344561906476</v>
      </c>
      <c r="K68" s="49">
        <f t="shared" si="3"/>
        <v>0.25730476359128729</v>
      </c>
    </row>
    <row r="69" spans="1:11">
      <c r="A69" s="7" t="s">
        <v>56</v>
      </c>
      <c r="B69" s="321">
        <v>0.5</v>
      </c>
      <c r="C69" s="247">
        <v>0.35199999999999998</v>
      </c>
      <c r="D69" s="246">
        <v>0.08</v>
      </c>
      <c r="E69" s="73">
        <f t="shared" si="0"/>
        <v>0.42045454545454564</v>
      </c>
      <c r="F69" s="49">
        <f t="shared" si="1"/>
        <v>5.25</v>
      </c>
      <c r="G69" s="253">
        <f>B69+Aug!G69</f>
        <v>3.9999999999999996</v>
      </c>
      <c r="H69" s="253">
        <f>C69+Aug!H69</f>
        <v>2.9499999999999997</v>
      </c>
      <c r="I69" s="250">
        <v>2.016</v>
      </c>
      <c r="J69" s="48">
        <f t="shared" si="2"/>
        <v>0.35593220338983045</v>
      </c>
      <c r="K69" s="49">
        <f t="shared" si="3"/>
        <v>0.98412698412698396</v>
      </c>
    </row>
    <row r="70" spans="1:11">
      <c r="A70" s="7" t="s">
        <v>88</v>
      </c>
      <c r="B70" s="321">
        <v>0.2</v>
      </c>
      <c r="C70" s="247">
        <v>0.16500000000000001</v>
      </c>
      <c r="D70" s="246">
        <v>0.28299999999999997</v>
      </c>
      <c r="E70" s="73">
        <f t="shared" ref="E70:E96" si="4">B70/C70-1</f>
        <v>0.21212121212121215</v>
      </c>
      <c r="F70" s="49">
        <f t="shared" ref="F70:F96" si="5">B70/D70-1</f>
        <v>-0.29328621908127195</v>
      </c>
      <c r="G70" s="253">
        <f>B70+Aug!G70</f>
        <v>1.7999999999999998</v>
      </c>
      <c r="H70" s="253">
        <f>C70+Aug!H70</f>
        <v>1.333</v>
      </c>
      <c r="I70" s="250">
        <v>1.877</v>
      </c>
      <c r="J70" s="48">
        <f t="shared" ref="J70:J96" si="6">G70/H70-1</f>
        <v>0.35033758439609897</v>
      </c>
      <c r="K70" s="49">
        <f t="shared" ref="K70:K96" si="7">G70/I70-1</f>
        <v>-4.1022908897176413E-2</v>
      </c>
    </row>
    <row r="71" spans="1:11">
      <c r="A71" s="7" t="s">
        <v>89</v>
      </c>
      <c r="B71" s="321">
        <v>0.6</v>
      </c>
      <c r="C71" s="247">
        <v>0.46400000000000002</v>
      </c>
      <c r="D71" s="246">
        <v>0.32500000000000001</v>
      </c>
      <c r="E71" s="73">
        <f t="shared" si="4"/>
        <v>0.29310344827586188</v>
      </c>
      <c r="F71" s="49">
        <f t="shared" si="5"/>
        <v>0.84615384615384603</v>
      </c>
      <c r="G71" s="253">
        <f>B71+Aug!G71</f>
        <v>4.3999999999999995</v>
      </c>
      <c r="H71" s="253">
        <f>C71+Aug!H71</f>
        <v>3.2970000000000002</v>
      </c>
      <c r="I71" s="250">
        <v>3.6720000000000002</v>
      </c>
      <c r="J71" s="48">
        <f t="shared" si="6"/>
        <v>0.33454655747649364</v>
      </c>
      <c r="K71" s="49">
        <f t="shared" si="7"/>
        <v>0.19825708061002167</v>
      </c>
    </row>
    <row r="72" spans="1:11">
      <c r="A72" s="7" t="s">
        <v>59</v>
      </c>
      <c r="B72" s="321">
        <v>6.9</v>
      </c>
      <c r="C72" s="247">
        <v>5.16</v>
      </c>
      <c r="D72" s="246">
        <v>4.069</v>
      </c>
      <c r="E72" s="73">
        <f t="shared" si="4"/>
        <v>0.33720930232558133</v>
      </c>
      <c r="F72" s="49">
        <f t="shared" si="5"/>
        <v>0.69574834111575345</v>
      </c>
      <c r="G72" s="253">
        <f>B72+Aug!G72</f>
        <v>50.699999999999996</v>
      </c>
      <c r="H72" s="253">
        <f>C72+Aug!H72</f>
        <v>34.423999999999999</v>
      </c>
      <c r="I72" s="250">
        <v>30.399000000000001</v>
      </c>
      <c r="J72" s="48">
        <f t="shared" si="6"/>
        <v>0.47280966767371591</v>
      </c>
      <c r="K72" s="49">
        <f t="shared" si="7"/>
        <v>0.66781802032961601</v>
      </c>
    </row>
    <row r="73" spans="1:11">
      <c r="A73" s="7" t="s">
        <v>60</v>
      </c>
      <c r="B73" s="321">
        <v>1.1000000000000001</v>
      </c>
      <c r="C73" s="247">
        <v>0.91700000000000004</v>
      </c>
      <c r="D73" s="246">
        <v>0.58899999999999997</v>
      </c>
      <c r="E73" s="73">
        <f t="shared" si="4"/>
        <v>0.19956379498364241</v>
      </c>
      <c r="F73" s="49">
        <f t="shared" si="5"/>
        <v>0.86757215619694428</v>
      </c>
      <c r="G73" s="253">
        <f>B73+Aug!G73</f>
        <v>7.1</v>
      </c>
      <c r="H73" s="253">
        <f>C73+Aug!H73</f>
        <v>5.5179999999999998</v>
      </c>
      <c r="I73" s="250">
        <v>6.1340000000000003</v>
      </c>
      <c r="J73" s="48">
        <f t="shared" si="6"/>
        <v>0.28669807901413558</v>
      </c>
      <c r="K73" s="49">
        <f t="shared" si="7"/>
        <v>0.15748288229540264</v>
      </c>
    </row>
    <row r="74" spans="1:11">
      <c r="A74" s="7" t="s">
        <v>61</v>
      </c>
      <c r="B74" s="321">
        <v>1.8</v>
      </c>
      <c r="C74" s="247">
        <v>1.7230000000000001</v>
      </c>
      <c r="D74" s="246">
        <v>1.3049999999999999</v>
      </c>
      <c r="E74" s="73">
        <f t="shared" si="4"/>
        <v>4.4689495066744023E-2</v>
      </c>
      <c r="F74" s="49">
        <f t="shared" si="5"/>
        <v>0.3793103448275863</v>
      </c>
      <c r="G74" s="253">
        <f>B74+Aug!G74</f>
        <v>15.1</v>
      </c>
      <c r="H74" s="253">
        <f>C74+Aug!H74</f>
        <v>10.547000000000002</v>
      </c>
      <c r="I74" s="250">
        <v>10.16</v>
      </c>
      <c r="J74" s="48">
        <f t="shared" si="6"/>
        <v>0.43168673556461523</v>
      </c>
      <c r="K74" s="49">
        <f t="shared" si="7"/>
        <v>0.48622047244094491</v>
      </c>
    </row>
    <row r="75" spans="1:11">
      <c r="A75" s="7" t="s">
        <v>62</v>
      </c>
      <c r="B75" s="321">
        <v>1</v>
      </c>
      <c r="C75" s="247">
        <v>0.93200000000000005</v>
      </c>
      <c r="D75" s="246">
        <v>0.98299999999999998</v>
      </c>
      <c r="E75" s="73">
        <f t="shared" si="4"/>
        <v>7.296137339055786E-2</v>
      </c>
      <c r="F75" s="49">
        <f t="shared" si="5"/>
        <v>1.7293997965412089E-2</v>
      </c>
      <c r="G75" s="253">
        <f>B75+Aug!G75</f>
        <v>9.4</v>
      </c>
      <c r="H75" s="253">
        <f>C75+Aug!H75</f>
        <v>5.51</v>
      </c>
      <c r="I75" s="250">
        <v>6.51</v>
      </c>
      <c r="J75" s="48">
        <f t="shared" si="6"/>
        <v>0.70598911070780401</v>
      </c>
      <c r="K75" s="49">
        <f t="shared" si="7"/>
        <v>0.44393241167434727</v>
      </c>
    </row>
    <row r="76" spans="1:11">
      <c r="A76" s="7" t="s">
        <v>63</v>
      </c>
      <c r="B76" s="321">
        <v>3</v>
      </c>
      <c r="C76" s="247">
        <v>1.9179999999999999</v>
      </c>
      <c r="D76" s="246">
        <v>1.2410000000000001</v>
      </c>
      <c r="E76" s="73">
        <f t="shared" si="4"/>
        <v>0.56412930135557882</v>
      </c>
      <c r="F76" s="49">
        <f t="shared" si="5"/>
        <v>1.4174053182917001</v>
      </c>
      <c r="G76" s="253">
        <f>B76+Aug!G76</f>
        <v>20.100000000000001</v>
      </c>
      <c r="H76" s="253">
        <f>C76+Aug!H76</f>
        <v>12.928000000000001</v>
      </c>
      <c r="I76" s="250">
        <v>12.294</v>
      </c>
      <c r="J76" s="48">
        <f t="shared" si="6"/>
        <v>0.55476485148514842</v>
      </c>
      <c r="K76" s="49">
        <f t="shared" si="7"/>
        <v>0.63494387506100547</v>
      </c>
    </row>
    <row r="77" spans="1:11">
      <c r="A77" s="7" t="s">
        <v>64</v>
      </c>
      <c r="B77" s="321">
        <v>0.6</v>
      </c>
      <c r="C77" s="247">
        <v>0.60899999999999999</v>
      </c>
      <c r="D77" s="246">
        <v>0.40300000000000002</v>
      </c>
      <c r="E77" s="73">
        <f t="shared" si="4"/>
        <v>-1.4778325123152691E-2</v>
      </c>
      <c r="F77" s="49">
        <f t="shared" si="5"/>
        <v>0.48883374689826287</v>
      </c>
      <c r="G77" s="253">
        <f>B77+Aug!G77</f>
        <v>4.5999999999999996</v>
      </c>
      <c r="H77" s="253">
        <f>C77+Aug!H77</f>
        <v>4.2210000000000001</v>
      </c>
      <c r="I77" s="250">
        <v>3.105</v>
      </c>
      <c r="J77" s="48">
        <f t="shared" si="6"/>
        <v>8.9789149490641984E-2</v>
      </c>
      <c r="K77" s="49">
        <f t="shared" si="7"/>
        <v>0.4814814814814814</v>
      </c>
    </row>
    <row r="78" spans="1:11">
      <c r="A78" s="7"/>
      <c r="B78" s="321"/>
      <c r="C78" s="247">
        <v>0</v>
      </c>
      <c r="D78" s="246">
        <v>0</v>
      </c>
      <c r="E78" s="73"/>
      <c r="F78" s="49"/>
      <c r="G78" s="253"/>
      <c r="H78" s="253"/>
      <c r="I78" s="250"/>
      <c r="J78" s="48"/>
      <c r="K78" s="49"/>
    </row>
    <row r="79" spans="1:11">
      <c r="A79" s="7" t="s">
        <v>65</v>
      </c>
      <c r="B79" s="321">
        <f>SUM(B80:B83)</f>
        <v>72.400000000000006</v>
      </c>
      <c r="C79" s="247">
        <v>68.869</v>
      </c>
      <c r="D79" s="246">
        <v>61.496000000000002</v>
      </c>
      <c r="E79" s="73">
        <f t="shared" si="4"/>
        <v>5.1271254120141219E-2</v>
      </c>
      <c r="F79" s="49">
        <f t="shared" si="5"/>
        <v>0.1773123455184078</v>
      </c>
      <c r="G79" s="253">
        <f>B79+Aug!G79</f>
        <v>741.80000000000007</v>
      </c>
      <c r="H79" s="253">
        <f>C79+Aug!H79</f>
        <v>615.11199999999997</v>
      </c>
      <c r="I79" s="250">
        <v>614.55700000000002</v>
      </c>
      <c r="J79" s="48">
        <f t="shared" si="6"/>
        <v>0.20595923994329501</v>
      </c>
      <c r="K79" s="49">
        <f t="shared" si="7"/>
        <v>0.20704832912162763</v>
      </c>
    </row>
    <row r="80" spans="1:11">
      <c r="A80" s="7" t="s">
        <v>66</v>
      </c>
      <c r="B80" s="321">
        <v>51</v>
      </c>
      <c r="C80" s="247">
        <v>51.384999999999998</v>
      </c>
      <c r="D80" s="246">
        <v>46.079000000000001</v>
      </c>
      <c r="E80" s="73">
        <f t="shared" si="4"/>
        <v>-7.4924588887806953E-3</v>
      </c>
      <c r="F80" s="49">
        <f t="shared" si="5"/>
        <v>0.10679485231884378</v>
      </c>
      <c r="G80" s="253">
        <f>B80+Aug!G80</f>
        <v>572.80000000000007</v>
      </c>
      <c r="H80" s="253">
        <f>C80+Aug!H80</f>
        <v>484.19600000000003</v>
      </c>
      <c r="I80" s="250">
        <v>473.03300000000002</v>
      </c>
      <c r="J80" s="48">
        <f t="shared" si="6"/>
        <v>0.18299201149947542</v>
      </c>
      <c r="K80" s="49">
        <f t="shared" si="7"/>
        <v>0.2109091754697876</v>
      </c>
    </row>
    <row r="81" spans="1:11">
      <c r="A81" s="7" t="s">
        <v>67</v>
      </c>
      <c r="B81" s="321">
        <v>5.9</v>
      </c>
      <c r="C81" s="247">
        <v>5.0979999999999999</v>
      </c>
      <c r="D81" s="246">
        <v>4.7430000000000003</v>
      </c>
      <c r="E81" s="73">
        <f t="shared" si="4"/>
        <v>0.15731659474303661</v>
      </c>
      <c r="F81" s="49">
        <f t="shared" si="5"/>
        <v>0.24393843558928952</v>
      </c>
      <c r="G81" s="253">
        <f>B81+Aug!G81</f>
        <v>58.699999999999996</v>
      </c>
      <c r="H81" s="253">
        <f>C81+Aug!H81</f>
        <v>47.026000000000003</v>
      </c>
      <c r="I81" s="250">
        <v>48.33</v>
      </c>
      <c r="J81" s="48">
        <f t="shared" si="6"/>
        <v>0.24824565134181076</v>
      </c>
      <c r="K81" s="49">
        <f t="shared" si="7"/>
        <v>0.21456652182909153</v>
      </c>
    </row>
    <row r="82" spans="1:11">
      <c r="A82" s="7" t="s">
        <v>68</v>
      </c>
      <c r="B82" s="321">
        <v>2.5</v>
      </c>
      <c r="C82" s="247">
        <v>2.3359999999999999</v>
      </c>
      <c r="D82" s="246">
        <v>1.95</v>
      </c>
      <c r="E82" s="73">
        <f t="shared" si="4"/>
        <v>7.0205479452054798E-2</v>
      </c>
      <c r="F82" s="49">
        <f t="shared" si="5"/>
        <v>0.28205128205128216</v>
      </c>
      <c r="G82" s="253">
        <f>B82+Aug!G82</f>
        <v>19.7</v>
      </c>
      <c r="H82" s="253">
        <f>C82+Aug!H82</f>
        <v>15.122</v>
      </c>
      <c r="I82" s="250">
        <v>16.422000000000001</v>
      </c>
      <c r="J82" s="48">
        <f t="shared" si="6"/>
        <v>0.3027377331040868</v>
      </c>
      <c r="K82" s="49">
        <f t="shared" si="7"/>
        <v>0.19961027889416627</v>
      </c>
    </row>
    <row r="83" spans="1:11">
      <c r="A83" s="7" t="s">
        <v>69</v>
      </c>
      <c r="B83" s="320">
        <f>1.2+1.7+SUM(B84:B89)</f>
        <v>13</v>
      </c>
      <c r="C83" s="247">
        <v>10.050000000000001</v>
      </c>
      <c r="D83" s="246">
        <v>8.7240000000000002</v>
      </c>
      <c r="E83" s="73">
        <f t="shared" si="4"/>
        <v>0.2935323383084576</v>
      </c>
      <c r="F83" s="49">
        <f t="shared" si="5"/>
        <v>0.49014213663457129</v>
      </c>
      <c r="G83" s="253">
        <f>B83+Aug!G83</f>
        <v>97.899999999999991</v>
      </c>
      <c r="H83" s="253">
        <f>C83+Aug!H83</f>
        <v>68.768000000000001</v>
      </c>
      <c r="I83" s="250">
        <v>76.772000000000006</v>
      </c>
      <c r="J83" s="48">
        <f t="shared" si="6"/>
        <v>0.4236272684969753</v>
      </c>
      <c r="K83" s="49">
        <f t="shared" si="7"/>
        <v>0.27520450164122323</v>
      </c>
    </row>
    <row r="84" spans="1:11">
      <c r="A84" s="7" t="s">
        <v>70</v>
      </c>
      <c r="B84" s="321">
        <v>0.4</v>
      </c>
      <c r="C84" s="247">
        <v>0.26800000000000002</v>
      </c>
      <c r="D84" s="246">
        <v>0.32100000000000001</v>
      </c>
      <c r="E84" s="73">
        <f t="shared" si="4"/>
        <v>0.49253731343283591</v>
      </c>
      <c r="F84" s="49">
        <f t="shared" si="5"/>
        <v>0.2461059190031154</v>
      </c>
      <c r="G84" s="253">
        <f>B84+Aug!G84</f>
        <v>2.8000000000000003</v>
      </c>
      <c r="H84" s="253">
        <f>C84+Aug!H84</f>
        <v>2.3630000000000004</v>
      </c>
      <c r="I84" s="250">
        <v>2.4700000000000002</v>
      </c>
      <c r="J84" s="48">
        <f t="shared" si="6"/>
        <v>0.18493440541684292</v>
      </c>
      <c r="K84" s="49">
        <f t="shared" si="7"/>
        <v>0.1336032388663968</v>
      </c>
    </row>
    <row r="85" spans="1:11">
      <c r="A85" s="7" t="s">
        <v>71</v>
      </c>
      <c r="B85" s="321">
        <v>2.5</v>
      </c>
      <c r="C85" s="247">
        <v>2.3610000000000002</v>
      </c>
      <c r="D85" s="246">
        <v>1.8420000000000001</v>
      </c>
      <c r="E85" s="73">
        <f t="shared" si="4"/>
        <v>5.8873358746293958E-2</v>
      </c>
      <c r="F85" s="49">
        <f t="shared" si="5"/>
        <v>0.35722041259500537</v>
      </c>
      <c r="G85" s="253">
        <f>B85+Aug!G85</f>
        <v>25.3</v>
      </c>
      <c r="H85" s="253">
        <f>C85+Aug!H85</f>
        <v>20.044</v>
      </c>
      <c r="I85" s="250">
        <v>18.861999999999998</v>
      </c>
      <c r="J85" s="48">
        <f t="shared" si="6"/>
        <v>0.26222310915984837</v>
      </c>
      <c r="K85" s="49">
        <f t="shared" si="7"/>
        <v>0.34132117484890268</v>
      </c>
    </row>
    <row r="86" spans="1:11">
      <c r="A86" s="7" t="s">
        <v>72</v>
      </c>
      <c r="B86" s="321">
        <v>5</v>
      </c>
      <c r="C86" s="247">
        <v>3.3340000000000001</v>
      </c>
      <c r="D86" s="246">
        <v>3.6680000000000001</v>
      </c>
      <c r="E86" s="73">
        <f t="shared" si="4"/>
        <v>0.49970005998800238</v>
      </c>
      <c r="F86" s="49">
        <f t="shared" si="5"/>
        <v>0.36314067611777534</v>
      </c>
      <c r="G86" s="253">
        <f>B86+Aug!G86</f>
        <v>37</v>
      </c>
      <c r="H86" s="253">
        <f>C86+Aug!H86</f>
        <v>22.211000000000002</v>
      </c>
      <c r="I86" s="250">
        <v>31.821000000000002</v>
      </c>
      <c r="J86" s="48">
        <f t="shared" si="6"/>
        <v>0.66584124983116455</v>
      </c>
      <c r="K86" s="49">
        <f t="shared" si="7"/>
        <v>0.16275415606046306</v>
      </c>
    </row>
    <row r="87" spans="1:11">
      <c r="A87" s="7" t="s">
        <v>73</v>
      </c>
      <c r="B87" s="321">
        <v>0.7</v>
      </c>
      <c r="C87" s="247">
        <v>0.59099999999999997</v>
      </c>
      <c r="D87" s="246">
        <v>0.39200000000000002</v>
      </c>
      <c r="E87" s="73">
        <f t="shared" si="4"/>
        <v>0.18443316412859567</v>
      </c>
      <c r="F87" s="49">
        <f t="shared" si="5"/>
        <v>0.78571428571428559</v>
      </c>
      <c r="G87" s="253">
        <f>B87+Aug!G87</f>
        <v>5.7</v>
      </c>
      <c r="H87" s="253">
        <f>C87+Aug!H87</f>
        <v>4.1389999999999993</v>
      </c>
      <c r="I87" s="250">
        <v>4.2469999999999999</v>
      </c>
      <c r="J87" s="48">
        <f t="shared" si="6"/>
        <v>0.37714423773858452</v>
      </c>
      <c r="K87" s="49">
        <f t="shared" si="7"/>
        <v>0.34212385213091601</v>
      </c>
    </row>
    <row r="88" spans="1:11">
      <c r="A88" s="7" t="s">
        <v>74</v>
      </c>
      <c r="B88" s="321">
        <v>1.4</v>
      </c>
      <c r="C88" s="247">
        <v>1.0109999999999999</v>
      </c>
      <c r="D88" s="246">
        <v>0.63</v>
      </c>
      <c r="E88" s="73">
        <f t="shared" si="4"/>
        <v>0.3847675568743818</v>
      </c>
      <c r="F88" s="49">
        <f t="shared" si="5"/>
        <v>1.2222222222222219</v>
      </c>
      <c r="G88" s="253">
        <f>B88+Aug!G88</f>
        <v>8.1</v>
      </c>
      <c r="H88" s="253">
        <f>C88+Aug!H88</f>
        <v>5.7820000000000009</v>
      </c>
      <c r="I88" s="250">
        <v>5.782</v>
      </c>
      <c r="J88" s="48">
        <f t="shared" si="6"/>
        <v>0.40089934278796235</v>
      </c>
      <c r="K88" s="49">
        <f t="shared" si="7"/>
        <v>0.40089934278796258</v>
      </c>
    </row>
    <row r="89" spans="1:11">
      <c r="A89" s="7" t="s">
        <v>75</v>
      </c>
      <c r="B89" s="321">
        <v>0.1</v>
      </c>
      <c r="C89" s="247">
        <v>0.11700000000000001</v>
      </c>
      <c r="D89" s="246">
        <v>7.1999999999999995E-2</v>
      </c>
      <c r="E89" s="73">
        <f t="shared" si="4"/>
        <v>-0.14529914529914534</v>
      </c>
      <c r="F89" s="49">
        <f t="shared" si="5"/>
        <v>0.38888888888888906</v>
      </c>
      <c r="G89" s="253">
        <f>B89+Aug!G89</f>
        <v>1.9000000000000006</v>
      </c>
      <c r="H89" s="253">
        <f>C89+Aug!H89</f>
        <v>0.88200000000000001</v>
      </c>
      <c r="I89" s="250">
        <v>1.0169999999999999</v>
      </c>
      <c r="J89" s="48">
        <f t="shared" si="6"/>
        <v>1.1541950113378689</v>
      </c>
      <c r="K89" s="49">
        <f t="shared" si="7"/>
        <v>0.86823992133726713</v>
      </c>
    </row>
    <row r="90" spans="1:11">
      <c r="A90" s="7"/>
      <c r="B90" s="321"/>
      <c r="C90" s="247">
        <v>0</v>
      </c>
      <c r="D90" s="246">
        <v>0</v>
      </c>
      <c r="E90" s="73"/>
      <c r="F90" s="49"/>
      <c r="G90" s="253"/>
      <c r="H90" s="253"/>
      <c r="I90" s="250"/>
      <c r="J90" s="48"/>
      <c r="K90" s="49"/>
    </row>
    <row r="91" spans="1:11">
      <c r="A91" s="7" t="s">
        <v>76</v>
      </c>
      <c r="B91" s="321">
        <f>SUM(B92:B94)</f>
        <v>4.5999999999999996</v>
      </c>
      <c r="C91" s="247">
        <v>4.29</v>
      </c>
      <c r="D91" s="246">
        <v>3.891</v>
      </c>
      <c r="E91" s="73">
        <f t="shared" si="4"/>
        <v>7.2261072261072146E-2</v>
      </c>
      <c r="F91" s="49">
        <f t="shared" si="5"/>
        <v>0.18221536879979428</v>
      </c>
      <c r="G91" s="253">
        <f>B91+Aug!G91</f>
        <v>31.9</v>
      </c>
      <c r="H91" s="253">
        <f>C91+Aug!H91</f>
        <v>24.929000000000002</v>
      </c>
      <c r="I91" s="250">
        <v>25.393000000000001</v>
      </c>
      <c r="J91" s="48">
        <f t="shared" si="6"/>
        <v>0.279634161017289</v>
      </c>
      <c r="K91" s="49">
        <f t="shared" si="7"/>
        <v>0.25625172291576415</v>
      </c>
    </row>
    <row r="92" spans="1:11">
      <c r="A92" s="7" t="s">
        <v>77</v>
      </c>
      <c r="B92" s="321">
        <v>3.8</v>
      </c>
      <c r="C92" s="247">
        <v>3.6949999999999998</v>
      </c>
      <c r="D92" s="246">
        <v>3.2959999999999998</v>
      </c>
      <c r="E92" s="73">
        <f t="shared" si="4"/>
        <v>2.8416779431664319E-2</v>
      </c>
      <c r="F92" s="49">
        <f t="shared" si="5"/>
        <v>0.15291262135922334</v>
      </c>
      <c r="G92" s="253">
        <f>B92+Aug!G92</f>
        <v>27.8</v>
      </c>
      <c r="H92" s="253">
        <f>C92+Aug!H92</f>
        <v>21.692999999999998</v>
      </c>
      <c r="I92" s="250">
        <v>21.620999999999999</v>
      </c>
      <c r="J92" s="48">
        <f t="shared" si="6"/>
        <v>0.28151938413313071</v>
      </c>
      <c r="K92" s="49">
        <f t="shared" si="7"/>
        <v>0.28578696637528345</v>
      </c>
    </row>
    <row r="93" spans="1:11">
      <c r="A93" s="7" t="s">
        <v>78</v>
      </c>
      <c r="B93" s="321">
        <v>0.5</v>
      </c>
      <c r="C93" s="247">
        <v>0.46700000000000003</v>
      </c>
      <c r="D93" s="246">
        <v>0.435</v>
      </c>
      <c r="E93" s="73">
        <f t="shared" si="4"/>
        <v>7.0663811563169032E-2</v>
      </c>
      <c r="F93" s="49">
        <f t="shared" si="5"/>
        <v>0.14942528735632177</v>
      </c>
      <c r="G93" s="253">
        <f>B93+Aug!G93</f>
        <v>3.0999999999999996</v>
      </c>
      <c r="H93" s="253">
        <f>C93+Aug!H93</f>
        <v>2.508</v>
      </c>
      <c r="I93" s="250">
        <v>2.6360000000000001</v>
      </c>
      <c r="J93" s="48">
        <f t="shared" si="6"/>
        <v>0.2360446570972885</v>
      </c>
      <c r="K93" s="49">
        <f t="shared" si="7"/>
        <v>0.17602427921092545</v>
      </c>
    </row>
    <row r="94" spans="1:11">
      <c r="A94" s="7" t="s">
        <v>19</v>
      </c>
      <c r="B94" s="321">
        <v>0.3</v>
      </c>
      <c r="C94" s="247">
        <v>0.128</v>
      </c>
      <c r="D94" s="246">
        <v>0.16</v>
      </c>
      <c r="E94" s="73">
        <f t="shared" si="4"/>
        <v>1.34375</v>
      </c>
      <c r="F94" s="49">
        <f t="shared" si="5"/>
        <v>0.875</v>
      </c>
      <c r="G94" s="253">
        <f>B94+Aug!G94</f>
        <v>1</v>
      </c>
      <c r="H94" s="253">
        <f>C94+Aug!H94</f>
        <v>0.72799999999999998</v>
      </c>
      <c r="I94" s="250">
        <v>1.1359999999999999</v>
      </c>
      <c r="J94" s="48">
        <f t="shared" si="6"/>
        <v>0.37362637362637363</v>
      </c>
      <c r="K94" s="49">
        <f t="shared" si="7"/>
        <v>-0.11971830985915488</v>
      </c>
    </row>
    <row r="95" spans="1:11">
      <c r="A95" s="7"/>
      <c r="B95" s="321"/>
      <c r="C95" s="247">
        <v>0</v>
      </c>
      <c r="D95" s="246">
        <v>0</v>
      </c>
      <c r="E95" s="73"/>
      <c r="F95" s="49"/>
      <c r="G95" s="253"/>
      <c r="H95" s="253"/>
      <c r="I95" s="250"/>
      <c r="J95" s="48"/>
      <c r="K95" s="49"/>
    </row>
    <row r="96" spans="1:11" ht="13.5" thickBot="1">
      <c r="A96" s="9" t="s">
        <v>79</v>
      </c>
      <c r="B96" s="322">
        <f>0.8</f>
        <v>0.8</v>
      </c>
      <c r="C96" s="248">
        <v>1.367</v>
      </c>
      <c r="D96" s="249">
        <v>0.71299999999999997</v>
      </c>
      <c r="E96" s="74">
        <f t="shared" si="4"/>
        <v>-0.41477688368690557</v>
      </c>
      <c r="F96" s="51">
        <f t="shared" si="5"/>
        <v>0.1220196353436187</v>
      </c>
      <c r="G96" s="253">
        <f>B96+Aug!G96</f>
        <v>7.7</v>
      </c>
      <c r="H96" s="253">
        <f>C96+Aug!H96</f>
        <v>9.8949999999999996</v>
      </c>
      <c r="I96" s="251">
        <v>7.4349999999999996</v>
      </c>
      <c r="J96" s="50">
        <f t="shared" si="6"/>
        <v>-0.22182920667003536</v>
      </c>
      <c r="K96" s="51">
        <f t="shared" si="7"/>
        <v>3.564223268325506E-2</v>
      </c>
    </row>
  </sheetData>
  <mergeCells count="4">
    <mergeCell ref="B3:D3"/>
    <mergeCell ref="E3:F3"/>
    <mergeCell ref="G3:I3"/>
    <mergeCell ref="J3:K3"/>
  </mergeCells>
  <conditionalFormatting sqref="E5:F96">
    <cfRule type="cellIs" dxfId="31" priority="5" operator="lessThan">
      <formula>0</formula>
    </cfRule>
    <cfRule type="cellIs" dxfId="30" priority="6" operator="greaterThan">
      <formula>0</formula>
    </cfRule>
    <cfRule type="cellIs" dxfId="29" priority="7" operator="greaterThan">
      <formula>0</formula>
    </cfRule>
    <cfRule type="cellIs" dxfId="28" priority="8" operator="lessThan">
      <formula>0</formula>
    </cfRule>
  </conditionalFormatting>
  <conditionalFormatting sqref="J5:K96">
    <cfRule type="cellIs" dxfId="27" priority="1" operator="lessThan">
      <formula>0</formula>
    </cfRule>
    <cfRule type="cellIs" dxfId="26" priority="2" operator="greaterThan">
      <formula>0</formula>
    </cfRule>
    <cfRule type="cellIs" dxfId="25" priority="3" operator="greaterThan">
      <formula>0</formula>
    </cfRule>
    <cfRule type="cellIs" dxfId="24" priority="4" operator="lessThan">
      <formula>0</formula>
    </cfRule>
  </conditionalFormatting>
  <pageMargins left="0.7" right="0.7" top="0.75" bottom="0.75" header="0.3" footer="0.3"/>
  <pageSetup paperSize="9" scale="87" orientation="portrait" r:id="rId1"/>
  <rowBreaks count="1" manualBreakCount="1">
    <brk id="5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96"/>
  <sheetViews>
    <sheetView zoomScaleNormal="100" workbookViewId="0">
      <selection activeCell="B15" sqref="B15"/>
    </sheetView>
  </sheetViews>
  <sheetFormatPr defaultColWidth="9" defaultRowHeight="12.75"/>
  <cols>
    <col min="1" max="1" width="26.28515625" style="52" customWidth="1"/>
    <col min="2" max="2" width="9.85546875" style="193" bestFit="1" customWidth="1"/>
    <col min="3" max="3" width="8.5703125" style="52" bestFit="1" customWidth="1"/>
    <col min="4" max="4" width="7.5703125" style="52" bestFit="1" customWidth="1"/>
    <col min="5" max="6" width="6.5703125" style="52" bestFit="1" customWidth="1"/>
    <col min="7" max="7" width="11.28515625" style="52" bestFit="1" customWidth="1"/>
    <col min="8" max="8" width="9" style="52" bestFit="1" customWidth="1"/>
    <col min="9" max="9" width="9.140625" style="52" bestFit="1" customWidth="1"/>
    <col min="10" max="11" width="6.5703125" style="52" bestFit="1" customWidth="1"/>
    <col min="12" max="16384" width="9" style="52"/>
  </cols>
  <sheetData>
    <row r="1" spans="1:11">
      <c r="A1" s="8" t="s">
        <v>129</v>
      </c>
      <c r="B1" s="190"/>
      <c r="C1" s="62"/>
      <c r="D1" s="62"/>
      <c r="E1" s="62"/>
      <c r="F1" s="62"/>
      <c r="G1" s="62"/>
      <c r="H1" s="62"/>
      <c r="I1" s="62"/>
      <c r="J1" s="1"/>
    </row>
    <row r="2" spans="1:11" ht="13.5" thickBot="1">
      <c r="A2" s="1" t="s">
        <v>237</v>
      </c>
      <c r="B2" s="191"/>
      <c r="C2" s="53"/>
      <c r="D2" s="53"/>
      <c r="G2" s="53"/>
      <c r="H2" s="53"/>
      <c r="I2" s="53"/>
    </row>
    <row r="3" spans="1:11" ht="13.5" thickBot="1">
      <c r="A3" s="10"/>
      <c r="B3" s="344" t="s">
        <v>104</v>
      </c>
      <c r="C3" s="345"/>
      <c r="D3" s="346"/>
      <c r="E3" s="341" t="s">
        <v>0</v>
      </c>
      <c r="F3" s="348"/>
      <c r="G3" s="344" t="s">
        <v>105</v>
      </c>
      <c r="H3" s="345"/>
      <c r="I3" s="346"/>
      <c r="J3" s="341" t="s">
        <v>0</v>
      </c>
      <c r="K3" s="343"/>
    </row>
    <row r="4" spans="1:11" ht="13.5" thickBot="1">
      <c r="A4" s="5"/>
      <c r="B4" s="192">
        <v>2017</v>
      </c>
      <c r="C4" s="83">
        <v>2016</v>
      </c>
      <c r="D4" s="141">
        <v>2015</v>
      </c>
      <c r="E4" s="21" t="s">
        <v>214</v>
      </c>
      <c r="F4" s="21" t="s">
        <v>215</v>
      </c>
      <c r="G4" s="83">
        <v>2017</v>
      </c>
      <c r="H4" s="83">
        <v>2016</v>
      </c>
      <c r="I4" s="141">
        <v>2015</v>
      </c>
      <c r="J4" s="21" t="s">
        <v>214</v>
      </c>
      <c r="K4" s="21" t="s">
        <v>215</v>
      </c>
    </row>
    <row r="5" spans="1:11">
      <c r="A5" s="7" t="s">
        <v>1</v>
      </c>
      <c r="B5" s="310">
        <f>B6+B27+B35+B79+B91+B96</f>
        <v>426.4</v>
      </c>
      <c r="C5" s="213">
        <v>271.89999999999998</v>
      </c>
      <c r="D5" s="242">
        <v>289.68299999999999</v>
      </c>
      <c r="E5" s="76">
        <f>B5/C5-1</f>
        <v>0.56822361162191992</v>
      </c>
      <c r="F5" s="70">
        <f>B5/D5-1</f>
        <v>0.47195382538844188</v>
      </c>
      <c r="G5" s="213">
        <f>B5+Sep!G5</f>
        <v>2966.0000000000005</v>
      </c>
      <c r="H5" s="213">
        <f>C5+Sep!H5</f>
        <v>2364.703</v>
      </c>
      <c r="I5" s="254">
        <v>2393.1480000000001</v>
      </c>
      <c r="J5" s="76">
        <f>G5/H5-1</f>
        <v>0.25428013581409603</v>
      </c>
      <c r="K5" s="18">
        <f>G5/I5-1</f>
        <v>0.23937173965003433</v>
      </c>
    </row>
    <row r="6" spans="1:11">
      <c r="A6" s="7" t="s">
        <v>2</v>
      </c>
      <c r="B6" s="217">
        <f>B8+B21+B58+B59+B60+B62</f>
        <v>48.399999999999991</v>
      </c>
      <c r="C6" s="215">
        <v>27.48</v>
      </c>
      <c r="D6" s="243">
        <v>25.341000000000001</v>
      </c>
      <c r="E6" s="73">
        <f t="shared" ref="E6:E69" si="0">B6/C6-1</f>
        <v>0.76128093158660803</v>
      </c>
      <c r="F6" s="71">
        <f t="shared" ref="F6:F69" si="1">B6/D6-1</f>
        <v>0.90994830511818758</v>
      </c>
      <c r="G6" s="215">
        <f>B6+Sep!G6</f>
        <v>350.7</v>
      </c>
      <c r="H6" s="215">
        <f>C6+Sep!H6</f>
        <v>239.554</v>
      </c>
      <c r="I6" s="255">
        <v>205.226</v>
      </c>
      <c r="J6" s="73">
        <f t="shared" ref="J6:J69" si="2">G6/H6-1</f>
        <v>0.46397054526328096</v>
      </c>
      <c r="K6" s="54">
        <f t="shared" ref="K6:K69" si="3">G6/I6-1</f>
        <v>0.70884780680810411</v>
      </c>
    </row>
    <row r="7" spans="1:11">
      <c r="A7" s="7"/>
      <c r="B7" s="217"/>
      <c r="C7" s="215">
        <v>0</v>
      </c>
      <c r="D7" s="243">
        <v>0</v>
      </c>
      <c r="E7" s="73"/>
      <c r="F7" s="71"/>
      <c r="G7" s="215"/>
      <c r="H7" s="215"/>
      <c r="I7" s="255">
        <v>0</v>
      </c>
      <c r="J7" s="73"/>
      <c r="K7" s="54"/>
    </row>
    <row r="8" spans="1:11">
      <c r="A8" s="7" t="s">
        <v>3</v>
      </c>
      <c r="B8" s="217">
        <f>SUM(B9:B19)</f>
        <v>39.299999999999997</v>
      </c>
      <c r="C8" s="215">
        <v>22.959</v>
      </c>
      <c r="D8" s="243">
        <v>20.494</v>
      </c>
      <c r="E8" s="73">
        <f t="shared" si="0"/>
        <v>0.71174702730955164</v>
      </c>
      <c r="F8" s="71">
        <f t="shared" si="1"/>
        <v>0.91763442958914787</v>
      </c>
      <c r="G8" s="215">
        <f>B8+Sep!G8</f>
        <v>263.60000000000002</v>
      </c>
      <c r="H8" s="215">
        <f>C8+Sep!H8</f>
        <v>179.53200000000004</v>
      </c>
      <c r="I8" s="255">
        <v>146.898</v>
      </c>
      <c r="J8" s="73">
        <f t="shared" si="2"/>
        <v>0.46826192545061596</v>
      </c>
      <c r="K8" s="54">
        <f t="shared" si="3"/>
        <v>0.79444240221105811</v>
      </c>
    </row>
    <row r="9" spans="1:11">
      <c r="A9" s="7" t="s">
        <v>4</v>
      </c>
      <c r="B9" s="217">
        <v>8.9</v>
      </c>
      <c r="C9" s="215">
        <v>5.6929999999999996</v>
      </c>
      <c r="D9" s="243">
        <v>5.4269999999999996</v>
      </c>
      <c r="E9" s="73">
        <f t="shared" si="0"/>
        <v>0.56332337958896916</v>
      </c>
      <c r="F9" s="71">
        <f t="shared" si="1"/>
        <v>0.63994840611756043</v>
      </c>
      <c r="G9" s="215">
        <f>B9+Sep!G9</f>
        <v>48.4</v>
      </c>
      <c r="H9" s="215">
        <f>C9+Sep!H9</f>
        <v>36.481999999999999</v>
      </c>
      <c r="I9" s="255">
        <v>33.436999999999998</v>
      </c>
      <c r="J9" s="73">
        <f t="shared" si="2"/>
        <v>0.32668165122526172</v>
      </c>
      <c r="K9" s="54">
        <f t="shared" si="3"/>
        <v>0.44749828034811734</v>
      </c>
    </row>
    <row r="10" spans="1:11">
      <c r="A10" s="7" t="s">
        <v>5</v>
      </c>
      <c r="B10" s="217">
        <v>0.7</v>
      </c>
      <c r="C10" s="215">
        <v>0.69399999999999995</v>
      </c>
      <c r="D10" s="243">
        <v>0.30599999999999999</v>
      </c>
      <c r="E10" s="73">
        <f t="shared" si="0"/>
        <v>8.6455331412103043E-3</v>
      </c>
      <c r="F10" s="71">
        <f t="shared" si="1"/>
        <v>1.2875816993464051</v>
      </c>
      <c r="G10" s="215">
        <f>B10+Sep!G10</f>
        <v>5.3</v>
      </c>
      <c r="H10" s="215">
        <f>C10+Sep!H10</f>
        <v>3.8319999999999999</v>
      </c>
      <c r="I10" s="255">
        <v>3.1379999999999999</v>
      </c>
      <c r="J10" s="73">
        <f t="shared" si="2"/>
        <v>0.3830897703549061</v>
      </c>
      <c r="K10" s="54">
        <f t="shared" si="3"/>
        <v>0.68897386870618238</v>
      </c>
    </row>
    <row r="11" spans="1:11">
      <c r="A11" s="7" t="s">
        <v>6</v>
      </c>
      <c r="B11" s="217">
        <v>3.1</v>
      </c>
      <c r="C11" s="215">
        <v>2.1019999999999999</v>
      </c>
      <c r="D11" s="243">
        <v>2.1389999999999998</v>
      </c>
      <c r="E11" s="73">
        <f t="shared" si="0"/>
        <v>0.47478591817316862</v>
      </c>
      <c r="F11" s="71">
        <f t="shared" si="1"/>
        <v>0.4492753623188408</v>
      </c>
      <c r="G11" s="215">
        <f>B11+Sep!G11</f>
        <v>27.8</v>
      </c>
      <c r="H11" s="215">
        <f>C11+Sep!H11</f>
        <v>16.494</v>
      </c>
      <c r="I11" s="255">
        <v>17.353999999999999</v>
      </c>
      <c r="J11" s="73">
        <f t="shared" si="2"/>
        <v>0.68546137989571965</v>
      </c>
      <c r="K11" s="54">
        <f t="shared" si="3"/>
        <v>0.60193615304828874</v>
      </c>
    </row>
    <row r="12" spans="1:11">
      <c r="A12" s="7" t="s">
        <v>86</v>
      </c>
      <c r="B12" s="217">
        <v>1.2</v>
      </c>
      <c r="C12" s="215">
        <v>0.48599999999999999</v>
      </c>
      <c r="D12" s="243">
        <v>0.48199999999999998</v>
      </c>
      <c r="E12" s="73">
        <f t="shared" si="0"/>
        <v>1.4691358024691357</v>
      </c>
      <c r="F12" s="71">
        <f t="shared" si="1"/>
        <v>1.4896265560165975</v>
      </c>
      <c r="G12" s="215">
        <f>B12+Sep!G12</f>
        <v>7.1</v>
      </c>
      <c r="H12" s="215">
        <f>C12+Sep!H12</f>
        <v>3.9479999999999995</v>
      </c>
      <c r="I12" s="255">
        <v>3.6819999999999999</v>
      </c>
      <c r="J12" s="73">
        <f t="shared" si="2"/>
        <v>0.79837892603850058</v>
      </c>
      <c r="K12" s="54">
        <f t="shared" si="3"/>
        <v>0.92829983704508412</v>
      </c>
    </row>
    <row r="13" spans="1:11">
      <c r="A13" s="7" t="s">
        <v>8</v>
      </c>
      <c r="B13" s="217">
        <f>14.4-1.2</f>
        <v>13.200000000000001</v>
      </c>
      <c r="C13" s="215">
        <v>7.5629999999999997</v>
      </c>
      <c r="D13" s="243">
        <v>5.984</v>
      </c>
      <c r="E13" s="73">
        <f t="shared" si="0"/>
        <v>0.74533915113050386</v>
      </c>
      <c r="F13" s="71">
        <f t="shared" si="1"/>
        <v>1.2058823529411766</v>
      </c>
      <c r="G13" s="215">
        <f>B13+Sep!G13</f>
        <v>93.7</v>
      </c>
      <c r="H13" s="215">
        <f>C13+Sep!H13</f>
        <v>61.012999999999991</v>
      </c>
      <c r="I13" s="255">
        <v>38.729999999999997</v>
      </c>
      <c r="J13" s="73">
        <f t="shared" si="2"/>
        <v>0.53573828528346445</v>
      </c>
      <c r="K13" s="54">
        <f t="shared" si="3"/>
        <v>1.4193131939065329</v>
      </c>
    </row>
    <row r="14" spans="1:11">
      <c r="A14" s="7" t="s">
        <v>9</v>
      </c>
      <c r="B14" s="217">
        <v>1.4</v>
      </c>
      <c r="C14" s="215">
        <v>0.877</v>
      </c>
      <c r="D14" s="243">
        <v>1.002</v>
      </c>
      <c r="E14" s="73">
        <f t="shared" si="0"/>
        <v>0.59635119726339791</v>
      </c>
      <c r="F14" s="71">
        <f t="shared" si="1"/>
        <v>0.39720558882235513</v>
      </c>
      <c r="G14" s="215">
        <f>B14+Sep!G14</f>
        <v>13.6</v>
      </c>
      <c r="H14" s="215">
        <f>C14+Sep!H14</f>
        <v>9.4030000000000005</v>
      </c>
      <c r="I14" s="255">
        <v>8.4390000000000001</v>
      </c>
      <c r="J14" s="73">
        <f t="shared" si="2"/>
        <v>0.44634691056045939</v>
      </c>
      <c r="K14" s="54">
        <f t="shared" si="3"/>
        <v>0.61156535134494594</v>
      </c>
    </row>
    <row r="15" spans="1:11">
      <c r="A15" s="7" t="s">
        <v>10</v>
      </c>
      <c r="B15" s="217">
        <v>1.1000000000000001</v>
      </c>
      <c r="C15" s="215">
        <v>0.54400000000000004</v>
      </c>
      <c r="D15" s="243">
        <v>0.67700000000000005</v>
      </c>
      <c r="E15" s="73">
        <f t="shared" si="0"/>
        <v>1.0220588235294117</v>
      </c>
      <c r="F15" s="71">
        <f t="shared" si="1"/>
        <v>0.6248153618906942</v>
      </c>
      <c r="G15" s="215">
        <f>B15+Sep!G15</f>
        <v>8.0000000000000018</v>
      </c>
      <c r="H15" s="215">
        <f>C15+Sep!H15</f>
        <v>5.0659999999999989</v>
      </c>
      <c r="I15" s="255">
        <v>5.0739999999999998</v>
      </c>
      <c r="J15" s="73">
        <f t="shared" si="2"/>
        <v>0.57915515199368395</v>
      </c>
      <c r="K15" s="54">
        <f t="shared" si="3"/>
        <v>0.57666535277887299</v>
      </c>
    </row>
    <row r="16" spans="1:11">
      <c r="A16" s="7" t="s">
        <v>11</v>
      </c>
      <c r="B16" s="217">
        <v>5</v>
      </c>
      <c r="C16" s="215">
        <v>2.1269999999999998</v>
      </c>
      <c r="D16" s="243">
        <v>2.0470000000000002</v>
      </c>
      <c r="E16" s="73">
        <f t="shared" si="0"/>
        <v>1.3507287259050309</v>
      </c>
      <c r="F16" s="71">
        <f t="shared" si="1"/>
        <v>1.4425989252564726</v>
      </c>
      <c r="G16" s="215">
        <f>B16+Sep!G16</f>
        <v>34</v>
      </c>
      <c r="H16" s="215">
        <f>C16+Sep!H16</f>
        <v>24.443999999999999</v>
      </c>
      <c r="I16" s="255">
        <v>20.027999999999999</v>
      </c>
      <c r="J16" s="73">
        <f t="shared" si="2"/>
        <v>0.39093438062510222</v>
      </c>
      <c r="K16" s="54">
        <f t="shared" si="3"/>
        <v>0.69762332734172161</v>
      </c>
    </row>
    <row r="17" spans="1:11">
      <c r="A17" s="7" t="s">
        <v>12</v>
      </c>
      <c r="B17" s="217">
        <v>1.1000000000000001</v>
      </c>
      <c r="C17" s="215">
        <v>0.505</v>
      </c>
      <c r="D17" s="243">
        <v>0.75900000000000001</v>
      </c>
      <c r="E17" s="73">
        <f t="shared" si="0"/>
        <v>1.1782178217821784</v>
      </c>
      <c r="F17" s="71">
        <f t="shared" si="1"/>
        <v>0.44927536231884058</v>
      </c>
      <c r="G17" s="215">
        <f>B17+Sep!G17</f>
        <v>7.2999999999999989</v>
      </c>
      <c r="H17" s="215">
        <f>C17+Sep!H17</f>
        <v>6.4029999999999996</v>
      </c>
      <c r="I17" s="255">
        <v>5.9480000000000004</v>
      </c>
      <c r="J17" s="73">
        <f t="shared" si="2"/>
        <v>0.14009058253943452</v>
      </c>
      <c r="K17" s="54">
        <f t="shared" si="3"/>
        <v>0.22730329522528558</v>
      </c>
    </row>
    <row r="18" spans="1:11">
      <c r="A18" s="7" t="s">
        <v>13</v>
      </c>
      <c r="B18" s="217">
        <v>0.3</v>
      </c>
      <c r="C18" s="215">
        <v>0.16900000000000001</v>
      </c>
      <c r="D18" s="243">
        <v>0.16200000000000001</v>
      </c>
      <c r="E18" s="73">
        <f t="shared" si="0"/>
        <v>0.77514792899408258</v>
      </c>
      <c r="F18" s="71">
        <f t="shared" si="1"/>
        <v>0.85185185185185164</v>
      </c>
      <c r="G18" s="215">
        <f>B18+Sep!G18</f>
        <v>2.4</v>
      </c>
      <c r="H18" s="215">
        <f>C18+Sep!H18</f>
        <v>1.804</v>
      </c>
      <c r="I18" s="255">
        <v>1.988</v>
      </c>
      <c r="J18" s="73">
        <f t="shared" si="2"/>
        <v>0.33037694013303764</v>
      </c>
      <c r="K18" s="54">
        <f t="shared" si="3"/>
        <v>0.20724346076458744</v>
      </c>
    </row>
    <row r="19" spans="1:11">
      <c r="A19" s="7" t="s">
        <v>14</v>
      </c>
      <c r="B19" s="217">
        <v>3.3</v>
      </c>
      <c r="C19" s="215">
        <v>2.1989999999999998</v>
      </c>
      <c r="D19" s="243">
        <v>1.5089999999999999</v>
      </c>
      <c r="E19" s="73">
        <f t="shared" si="0"/>
        <v>0.50068212824010927</v>
      </c>
      <c r="F19" s="71">
        <f t="shared" si="1"/>
        <v>1.1868787276341948</v>
      </c>
      <c r="G19" s="215">
        <f>B19+Sep!G19</f>
        <v>16</v>
      </c>
      <c r="H19" s="215">
        <f>C19+Sep!H19</f>
        <v>10.642999999999999</v>
      </c>
      <c r="I19" s="255">
        <v>9.08</v>
      </c>
      <c r="J19" s="73">
        <f t="shared" si="2"/>
        <v>0.50333552569764173</v>
      </c>
      <c r="K19" s="54">
        <f t="shared" si="3"/>
        <v>0.76211453744493385</v>
      </c>
    </row>
    <row r="20" spans="1:11">
      <c r="A20" s="7"/>
      <c r="B20" s="217"/>
      <c r="C20" s="215">
        <v>0</v>
      </c>
      <c r="D20" s="243">
        <v>0</v>
      </c>
      <c r="E20" s="73"/>
      <c r="F20" s="71"/>
      <c r="G20" s="215"/>
      <c r="H20" s="215"/>
      <c r="I20" s="255">
        <v>0</v>
      </c>
      <c r="J20" s="73"/>
      <c r="K20" s="54"/>
    </row>
    <row r="21" spans="1:11">
      <c r="A21" s="7" t="s">
        <v>15</v>
      </c>
      <c r="B21" s="217">
        <f>SUM(B22:B25)</f>
        <v>5.4</v>
      </c>
      <c r="C21" s="215">
        <v>4.5209999999999999</v>
      </c>
      <c r="D21" s="243">
        <v>4.8470000000000004</v>
      </c>
      <c r="E21" s="73">
        <f t="shared" si="0"/>
        <v>0.19442601194426024</v>
      </c>
      <c r="F21" s="71">
        <f t="shared" si="1"/>
        <v>0.11409119042706828</v>
      </c>
      <c r="G21" s="215">
        <f>B21+Sep!G21</f>
        <v>63.2</v>
      </c>
      <c r="H21" s="215">
        <f>C21+Sep!H21</f>
        <v>60.021999999999991</v>
      </c>
      <c r="I21" s="255">
        <v>58.328000000000003</v>
      </c>
      <c r="J21" s="73">
        <f t="shared" si="2"/>
        <v>5.2947252674019785E-2</v>
      </c>
      <c r="K21" s="54">
        <f t="shared" si="3"/>
        <v>8.3527636812508632E-2</v>
      </c>
    </row>
    <row r="22" spans="1:11">
      <c r="A22" s="7" t="s">
        <v>16</v>
      </c>
      <c r="B22" s="217">
        <v>0.8</v>
      </c>
      <c r="C22" s="215">
        <v>0.46700000000000003</v>
      </c>
      <c r="D22" s="243">
        <v>0.57799999999999996</v>
      </c>
      <c r="E22" s="73">
        <f t="shared" si="0"/>
        <v>0.71306209850107072</v>
      </c>
      <c r="F22" s="71">
        <f t="shared" si="1"/>
        <v>0.38408304498269907</v>
      </c>
      <c r="G22" s="215">
        <f>B22+Sep!G22</f>
        <v>6.6000000000000005</v>
      </c>
      <c r="H22" s="215">
        <f>C22+Sep!H22</f>
        <v>4.5639999999999992</v>
      </c>
      <c r="I22" s="255">
        <v>4.593</v>
      </c>
      <c r="J22" s="73">
        <f t="shared" si="2"/>
        <v>0.44609991235758151</v>
      </c>
      <c r="K22" s="54">
        <f t="shared" si="3"/>
        <v>0.43696930111038546</v>
      </c>
    </row>
    <row r="23" spans="1:11">
      <c r="A23" s="7" t="s">
        <v>17</v>
      </c>
      <c r="B23" s="217">
        <v>2.9</v>
      </c>
      <c r="C23" s="215">
        <v>2.1659999999999999</v>
      </c>
      <c r="D23" s="243">
        <v>1.587</v>
      </c>
      <c r="E23" s="73">
        <f t="shared" si="0"/>
        <v>0.33887349953831958</v>
      </c>
      <c r="F23" s="71">
        <f t="shared" si="1"/>
        <v>0.82734719596723383</v>
      </c>
      <c r="G23" s="215">
        <f>B23+Sep!G23</f>
        <v>31.7</v>
      </c>
      <c r="H23" s="215">
        <f>C23+Sep!H23</f>
        <v>27.413000000000004</v>
      </c>
      <c r="I23" s="255">
        <v>22.225999999999999</v>
      </c>
      <c r="J23" s="73">
        <f t="shared" si="2"/>
        <v>0.15638565644037472</v>
      </c>
      <c r="K23" s="54">
        <f t="shared" si="3"/>
        <v>0.42625753621884277</v>
      </c>
    </row>
    <row r="24" spans="1:11">
      <c r="A24" s="7" t="s">
        <v>18</v>
      </c>
      <c r="B24" s="217">
        <v>0.7</v>
      </c>
      <c r="C24" s="215">
        <v>1.0229999999999999</v>
      </c>
      <c r="D24" s="243">
        <v>1.363</v>
      </c>
      <c r="E24" s="73">
        <f t="shared" si="0"/>
        <v>-0.31573802541544471</v>
      </c>
      <c r="F24" s="71">
        <f t="shared" si="1"/>
        <v>-0.48642699926632427</v>
      </c>
      <c r="G24" s="215">
        <f>B24+Sep!G24</f>
        <v>13.5</v>
      </c>
      <c r="H24" s="215">
        <f>C24+Sep!H24</f>
        <v>16.538999999999998</v>
      </c>
      <c r="I24" s="255">
        <v>19.352</v>
      </c>
      <c r="J24" s="73">
        <f t="shared" si="2"/>
        <v>-0.18374750589515676</v>
      </c>
      <c r="K24" s="54">
        <f t="shared" si="3"/>
        <v>-0.30239768499379915</v>
      </c>
    </row>
    <row r="25" spans="1:11">
      <c r="A25" s="7" t="s">
        <v>19</v>
      </c>
      <c r="B25" s="217">
        <v>1</v>
      </c>
      <c r="C25" s="215">
        <v>0.86499999999999999</v>
      </c>
      <c r="D25" s="243">
        <v>1.319</v>
      </c>
      <c r="E25" s="73">
        <f t="shared" si="0"/>
        <v>0.1560693641618498</v>
      </c>
      <c r="F25" s="71">
        <f t="shared" si="1"/>
        <v>-0.24184988627748294</v>
      </c>
      <c r="G25" s="215">
        <f>B25+Sep!G25</f>
        <v>11.400000000000002</v>
      </c>
      <c r="H25" s="215">
        <f>C25+Sep!H25</f>
        <v>11.506</v>
      </c>
      <c r="I25" s="255">
        <v>12.157</v>
      </c>
      <c r="J25" s="73">
        <f t="shared" si="2"/>
        <v>-9.2125847383971449E-3</v>
      </c>
      <c r="K25" s="54">
        <f t="shared" si="3"/>
        <v>-6.2268651805543973E-2</v>
      </c>
    </row>
    <row r="26" spans="1:11">
      <c r="A26" s="7"/>
      <c r="B26" s="217"/>
      <c r="C26" s="215">
        <v>0</v>
      </c>
      <c r="D26" s="243">
        <v>0</v>
      </c>
      <c r="E26" s="73"/>
      <c r="F26" s="71"/>
      <c r="G26" s="215"/>
      <c r="H26" s="215"/>
      <c r="I26" s="255">
        <v>0</v>
      </c>
      <c r="J26" s="73"/>
      <c r="K26" s="54"/>
    </row>
    <row r="27" spans="1:11">
      <c r="A27" s="7" t="s">
        <v>20</v>
      </c>
      <c r="B27" s="217">
        <f>SUM(B28:B33)</f>
        <v>5.9</v>
      </c>
      <c r="C27" s="215">
        <v>3.9239999999999999</v>
      </c>
      <c r="D27" s="243">
        <v>6.8410000000000002</v>
      </c>
      <c r="E27" s="73">
        <f t="shared" si="0"/>
        <v>0.50356778797145774</v>
      </c>
      <c r="F27" s="71">
        <f t="shared" si="1"/>
        <v>-0.13755298932904547</v>
      </c>
      <c r="G27" s="215">
        <f>B27+Sep!G27</f>
        <v>55.999999999999993</v>
      </c>
      <c r="H27" s="215">
        <f>C27+Sep!H27</f>
        <v>48.480000000000004</v>
      </c>
      <c r="I27" s="255">
        <v>53.706000000000003</v>
      </c>
      <c r="J27" s="73">
        <f t="shared" si="2"/>
        <v>0.15511551155115488</v>
      </c>
      <c r="K27" s="54">
        <f t="shared" si="3"/>
        <v>4.2714035675715634E-2</v>
      </c>
    </row>
    <row r="28" spans="1:11">
      <c r="A28" s="7" t="s">
        <v>21</v>
      </c>
      <c r="B28" s="217">
        <v>2.9</v>
      </c>
      <c r="C28" s="215">
        <v>1.6639999999999999</v>
      </c>
      <c r="D28" s="243">
        <v>1.8029999999999999</v>
      </c>
      <c r="E28" s="73">
        <f t="shared" si="0"/>
        <v>0.74278846153846168</v>
      </c>
      <c r="F28" s="71">
        <f t="shared" si="1"/>
        <v>0.6084303937881308</v>
      </c>
      <c r="G28" s="215">
        <f>B28+Sep!G28</f>
        <v>21.3</v>
      </c>
      <c r="H28" s="215">
        <f>C28+Sep!H28</f>
        <v>16.215000000000003</v>
      </c>
      <c r="I28" s="255">
        <v>16.547999999999998</v>
      </c>
      <c r="J28" s="73">
        <f t="shared" si="2"/>
        <v>0.31359851988899146</v>
      </c>
      <c r="K28" s="54">
        <f t="shared" si="3"/>
        <v>0.28716461203770871</v>
      </c>
    </row>
    <row r="29" spans="1:11">
      <c r="A29" s="7" t="s">
        <v>22</v>
      </c>
      <c r="B29" s="217">
        <v>0.3</v>
      </c>
      <c r="C29" s="215">
        <v>0.20799999999999999</v>
      </c>
      <c r="D29" s="243">
        <v>0.161</v>
      </c>
      <c r="E29" s="73">
        <f t="shared" si="0"/>
        <v>0.44230769230769229</v>
      </c>
      <c r="F29" s="71">
        <f t="shared" si="1"/>
        <v>0.86335403726708071</v>
      </c>
      <c r="G29" s="215">
        <f>B29+Sep!G29</f>
        <v>6.6</v>
      </c>
      <c r="H29" s="215">
        <f>C29+Sep!H29</f>
        <v>8.4710000000000001</v>
      </c>
      <c r="I29" s="255">
        <v>5.8540000000000001</v>
      </c>
      <c r="J29" s="73">
        <f t="shared" si="2"/>
        <v>-0.2208712076496282</v>
      </c>
      <c r="K29" s="54">
        <f t="shared" si="3"/>
        <v>0.12743423300307466</v>
      </c>
    </row>
    <row r="30" spans="1:11">
      <c r="A30" s="7" t="s">
        <v>23</v>
      </c>
      <c r="B30" s="217">
        <v>0.2</v>
      </c>
      <c r="C30" s="215">
        <v>0.153</v>
      </c>
      <c r="D30" s="243">
        <v>0.155</v>
      </c>
      <c r="E30" s="73">
        <f t="shared" si="0"/>
        <v>0.30718954248366015</v>
      </c>
      <c r="F30" s="71">
        <f t="shared" si="1"/>
        <v>0.29032258064516148</v>
      </c>
      <c r="G30" s="215">
        <f>B30+Sep!G30</f>
        <v>2.6000000000000005</v>
      </c>
      <c r="H30" s="215">
        <f>C30+Sep!H30</f>
        <v>2.4249999999999998</v>
      </c>
      <c r="I30" s="255">
        <v>2.794</v>
      </c>
      <c r="J30" s="73">
        <f t="shared" si="2"/>
        <v>7.2164948453608435E-2</v>
      </c>
      <c r="K30" s="54">
        <f t="shared" si="3"/>
        <v>-6.9434502505368423E-2</v>
      </c>
    </row>
    <row r="31" spans="1:11">
      <c r="A31" s="6" t="s">
        <v>24</v>
      </c>
      <c r="B31" s="217">
        <v>0.4</v>
      </c>
      <c r="C31" s="215">
        <v>0.32700000000000001</v>
      </c>
      <c r="D31" s="243">
        <v>2.633</v>
      </c>
      <c r="E31" s="73">
        <f t="shared" si="0"/>
        <v>0.2232415902140672</v>
      </c>
      <c r="F31" s="71">
        <f t="shared" si="1"/>
        <v>-0.8480820357007216</v>
      </c>
      <c r="G31" s="215">
        <f>B31+Sep!G31</f>
        <v>4.1999999999999993</v>
      </c>
      <c r="H31" s="215">
        <f>C31+Sep!H31</f>
        <v>3.9400000000000004</v>
      </c>
      <c r="I31" s="255">
        <v>9.4629999999999992</v>
      </c>
      <c r="J31" s="73">
        <f t="shared" si="2"/>
        <v>6.5989847715735683E-2</v>
      </c>
      <c r="K31" s="54">
        <f t="shared" si="3"/>
        <v>-0.55616612068054527</v>
      </c>
    </row>
    <row r="32" spans="1:11">
      <c r="A32" s="6" t="s">
        <v>25</v>
      </c>
      <c r="B32" s="217">
        <v>0.2</v>
      </c>
      <c r="C32" s="215">
        <v>0.16800000000000001</v>
      </c>
      <c r="D32" s="243">
        <v>0.36699999999999999</v>
      </c>
      <c r="E32" s="73">
        <f t="shared" si="0"/>
        <v>0.19047619047619047</v>
      </c>
      <c r="F32" s="71">
        <f t="shared" si="1"/>
        <v>-0.45504087193460485</v>
      </c>
      <c r="G32" s="215">
        <f>B32+Sep!G32</f>
        <v>2.5000000000000004</v>
      </c>
      <c r="H32" s="215">
        <f>C32+Sep!H32</f>
        <v>2.7800000000000002</v>
      </c>
      <c r="I32" s="255">
        <v>2.657</v>
      </c>
      <c r="J32" s="73">
        <f t="shared" si="2"/>
        <v>-0.10071942446043158</v>
      </c>
      <c r="K32" s="54">
        <f t="shared" si="3"/>
        <v>-5.908919834399684E-2</v>
      </c>
    </row>
    <row r="33" spans="1:11">
      <c r="A33" s="7" t="s">
        <v>19</v>
      </c>
      <c r="B33" s="217">
        <v>1.9</v>
      </c>
      <c r="C33" s="215">
        <v>1.4039999999999999</v>
      </c>
      <c r="D33" s="243">
        <v>1.722</v>
      </c>
      <c r="E33" s="73">
        <f t="shared" si="0"/>
        <v>0.35327635327635321</v>
      </c>
      <c r="F33" s="71">
        <f t="shared" si="1"/>
        <v>0.10336817653890829</v>
      </c>
      <c r="G33" s="215">
        <f>B33+Sep!G33</f>
        <v>18.7</v>
      </c>
      <c r="H33" s="215">
        <f>C33+Sep!H33</f>
        <v>14.649000000000001</v>
      </c>
      <c r="I33" s="255">
        <v>16.39</v>
      </c>
      <c r="J33" s="73">
        <f t="shared" si="2"/>
        <v>0.27653764762099797</v>
      </c>
      <c r="K33" s="54">
        <f t="shared" si="3"/>
        <v>0.14093959731543615</v>
      </c>
    </row>
    <row r="34" spans="1:11">
      <c r="A34" s="2"/>
      <c r="B34" s="217"/>
      <c r="C34" s="215">
        <v>0</v>
      </c>
      <c r="D34" s="243">
        <v>0</v>
      </c>
      <c r="E34" s="73"/>
      <c r="F34" s="71"/>
      <c r="G34" s="215"/>
      <c r="H34" s="215"/>
      <c r="I34" s="255">
        <v>0</v>
      </c>
      <c r="J34" s="73"/>
      <c r="K34" s="54"/>
    </row>
    <row r="35" spans="1:11">
      <c r="A35" s="7" t="s">
        <v>26</v>
      </c>
      <c r="B35" s="217">
        <f>B36+SUM(B41:B51)+B54+B55+B56+B57+SUM(B63:B77)</f>
        <v>256.39999999999998</v>
      </c>
      <c r="C35" s="215">
        <v>167.86</v>
      </c>
      <c r="D35" s="243">
        <v>179.87200000000001</v>
      </c>
      <c r="E35" s="73">
        <f t="shared" si="0"/>
        <v>0.52746336232574742</v>
      </c>
      <c r="F35" s="71">
        <f t="shared" si="1"/>
        <v>0.42545810354029512</v>
      </c>
      <c r="G35" s="215">
        <f>B35+Sep!G35</f>
        <v>1654.9</v>
      </c>
      <c r="H35" s="215">
        <f>C35+Sep!H35</f>
        <v>1354.0970000000002</v>
      </c>
      <c r="I35" s="255">
        <v>1409.1220000000001</v>
      </c>
      <c r="J35" s="73">
        <f t="shared" si="2"/>
        <v>0.22214287455034598</v>
      </c>
      <c r="K35" s="54">
        <f t="shared" si="3"/>
        <v>0.17441924829787636</v>
      </c>
    </row>
    <row r="36" spans="1:11">
      <c r="A36" s="7" t="s">
        <v>27</v>
      </c>
      <c r="B36" s="217">
        <f>SUM(B37:B40)</f>
        <v>12.4</v>
      </c>
      <c r="C36" s="215">
        <v>8.5429999999999993</v>
      </c>
      <c r="D36" s="243">
        <v>10.233000000000001</v>
      </c>
      <c r="E36" s="73">
        <f t="shared" si="0"/>
        <v>0.4514807444691562</v>
      </c>
      <c r="F36" s="71">
        <f t="shared" si="1"/>
        <v>0.2117658555653279</v>
      </c>
      <c r="G36" s="215">
        <f>B36+Sep!G36</f>
        <v>63</v>
      </c>
      <c r="H36" s="215">
        <f>C36+Sep!H36</f>
        <v>54.563000000000002</v>
      </c>
      <c r="I36" s="255">
        <v>60.762</v>
      </c>
      <c r="J36" s="73">
        <f t="shared" si="2"/>
        <v>0.15462859446877908</v>
      </c>
      <c r="K36" s="54">
        <f t="shared" si="3"/>
        <v>3.6832230670484911E-2</v>
      </c>
    </row>
    <row r="37" spans="1:11">
      <c r="A37" s="7" t="s">
        <v>28</v>
      </c>
      <c r="B37" s="217">
        <v>2.2000000000000002</v>
      </c>
      <c r="C37" s="215">
        <v>1.522</v>
      </c>
      <c r="D37" s="243">
        <v>1.9830000000000001</v>
      </c>
      <c r="E37" s="73">
        <f t="shared" si="0"/>
        <v>0.44546649145860728</v>
      </c>
      <c r="F37" s="71">
        <f t="shared" si="1"/>
        <v>0.10943015632879471</v>
      </c>
      <c r="G37" s="215">
        <f>B37+Sep!G37</f>
        <v>12.3</v>
      </c>
      <c r="H37" s="215">
        <f>C37+Sep!H37</f>
        <v>10.595000000000001</v>
      </c>
      <c r="I37" s="255">
        <v>9.9879999999999995</v>
      </c>
      <c r="J37" s="73">
        <f t="shared" si="2"/>
        <v>0.1609249646059463</v>
      </c>
      <c r="K37" s="54">
        <f t="shared" si="3"/>
        <v>0.2314777733279938</v>
      </c>
    </row>
    <row r="38" spans="1:11">
      <c r="A38" s="7" t="s">
        <v>29</v>
      </c>
      <c r="B38" s="217">
        <v>4.3</v>
      </c>
      <c r="C38" s="215">
        <v>2.3170000000000002</v>
      </c>
      <c r="D38" s="243">
        <v>3.274</v>
      </c>
      <c r="E38" s="73">
        <f t="shared" si="0"/>
        <v>0.85584807941303387</v>
      </c>
      <c r="F38" s="71">
        <f t="shared" si="1"/>
        <v>0.31337813072693943</v>
      </c>
      <c r="G38" s="215">
        <f>B38+Sep!G38</f>
        <v>22.2</v>
      </c>
      <c r="H38" s="215">
        <f>C38+Sep!H38</f>
        <v>17.686</v>
      </c>
      <c r="I38" s="255">
        <v>20.904</v>
      </c>
      <c r="J38" s="73">
        <f t="shared" si="2"/>
        <v>0.2552301255230125</v>
      </c>
      <c r="K38" s="54">
        <f t="shared" si="3"/>
        <v>6.1997703788748471E-2</v>
      </c>
    </row>
    <row r="39" spans="1:11">
      <c r="A39" s="7" t="s">
        <v>30</v>
      </c>
      <c r="B39" s="217">
        <v>2.8</v>
      </c>
      <c r="C39" s="215">
        <v>2.4769999999999999</v>
      </c>
      <c r="D39" s="243">
        <v>2.3519999999999999</v>
      </c>
      <c r="E39" s="73">
        <f t="shared" si="0"/>
        <v>0.13039967702866373</v>
      </c>
      <c r="F39" s="71">
        <f t="shared" si="1"/>
        <v>0.19047619047619047</v>
      </c>
      <c r="G39" s="215">
        <f>B39+Sep!G39</f>
        <v>12</v>
      </c>
      <c r="H39" s="215">
        <f>C39+Sep!H39</f>
        <v>11.035</v>
      </c>
      <c r="I39" s="255">
        <v>12.441000000000001</v>
      </c>
      <c r="J39" s="73">
        <f t="shared" si="2"/>
        <v>8.7449025826914273E-2</v>
      </c>
      <c r="K39" s="54">
        <f t="shared" si="3"/>
        <v>-3.5447311309380281E-2</v>
      </c>
    </row>
    <row r="40" spans="1:11">
      <c r="A40" s="7" t="s">
        <v>31</v>
      </c>
      <c r="B40" s="217">
        <v>3.1</v>
      </c>
      <c r="C40" s="215">
        <v>2.2269999999999999</v>
      </c>
      <c r="D40" s="243">
        <v>2.593</v>
      </c>
      <c r="E40" s="73">
        <f t="shared" si="0"/>
        <v>0.39200718455321071</v>
      </c>
      <c r="F40" s="71">
        <f t="shared" si="1"/>
        <v>0.19552641727728504</v>
      </c>
      <c r="G40" s="215">
        <f>B40+Sep!G40</f>
        <v>16.5</v>
      </c>
      <c r="H40" s="215">
        <f>C40+Sep!H40</f>
        <v>14.986999999999998</v>
      </c>
      <c r="I40" s="255">
        <v>17.071000000000002</v>
      </c>
      <c r="J40" s="73">
        <f t="shared" si="2"/>
        <v>0.10095416027223614</v>
      </c>
      <c r="K40" s="54">
        <f t="shared" si="3"/>
        <v>-3.344853845703244E-2</v>
      </c>
    </row>
    <row r="41" spans="1:11">
      <c r="A41" s="7" t="s">
        <v>32</v>
      </c>
      <c r="B41" s="217">
        <v>23.8</v>
      </c>
      <c r="C41" s="215">
        <v>17.288</v>
      </c>
      <c r="D41" s="243">
        <v>17.477</v>
      </c>
      <c r="E41" s="73">
        <f t="shared" si="0"/>
        <v>0.37667746413697367</v>
      </c>
      <c r="F41" s="71">
        <f t="shared" si="1"/>
        <v>0.36178978085483782</v>
      </c>
      <c r="G41" s="215">
        <f>B41+Sep!G41</f>
        <v>170.10000000000002</v>
      </c>
      <c r="H41" s="215">
        <f>C41+Sep!H41</f>
        <v>153.02600000000001</v>
      </c>
      <c r="I41" s="255">
        <v>149.654</v>
      </c>
      <c r="J41" s="73">
        <f t="shared" si="2"/>
        <v>0.11157581064655697</v>
      </c>
      <c r="K41" s="54">
        <f t="shared" si="3"/>
        <v>0.13662180763628129</v>
      </c>
    </row>
    <row r="42" spans="1:11">
      <c r="A42" s="7" t="s">
        <v>33</v>
      </c>
      <c r="B42" s="217">
        <v>1.6</v>
      </c>
      <c r="C42" s="215">
        <v>1.7290000000000001</v>
      </c>
      <c r="D42" s="243">
        <v>1.04</v>
      </c>
      <c r="E42" s="73">
        <f t="shared" si="0"/>
        <v>-7.4609600925390374E-2</v>
      </c>
      <c r="F42" s="71">
        <f t="shared" si="1"/>
        <v>0.53846153846153855</v>
      </c>
      <c r="G42" s="215">
        <f>B42+Sep!G42</f>
        <v>8.3000000000000007</v>
      </c>
      <c r="H42" s="215">
        <f>C42+Sep!H42</f>
        <v>8.6239999999999988</v>
      </c>
      <c r="I42" s="255">
        <v>6.9329999999999998</v>
      </c>
      <c r="J42" s="73">
        <f t="shared" si="2"/>
        <v>-3.7569573283858793E-2</v>
      </c>
      <c r="K42" s="54">
        <f t="shared" si="3"/>
        <v>0.19717294100677929</v>
      </c>
    </row>
    <row r="43" spans="1:11">
      <c r="A43" s="7" t="s">
        <v>34</v>
      </c>
      <c r="B43" s="217">
        <v>7.5</v>
      </c>
      <c r="C43" s="215">
        <v>5.048</v>
      </c>
      <c r="D43" s="243">
        <v>5.3540000000000001</v>
      </c>
      <c r="E43" s="73">
        <f t="shared" si="0"/>
        <v>0.48573692551505543</v>
      </c>
      <c r="F43" s="71">
        <f t="shared" si="1"/>
        <v>0.40082181546507289</v>
      </c>
      <c r="G43" s="215">
        <f>B43+Sep!G43</f>
        <v>52.300000000000004</v>
      </c>
      <c r="H43" s="215">
        <f>C43+Sep!H43</f>
        <v>41.657000000000004</v>
      </c>
      <c r="I43" s="255">
        <v>41.121000000000002</v>
      </c>
      <c r="J43" s="73">
        <f t="shared" si="2"/>
        <v>0.25549127397556237</v>
      </c>
      <c r="K43" s="54">
        <f t="shared" si="3"/>
        <v>0.27185622917730612</v>
      </c>
    </row>
    <row r="44" spans="1:11">
      <c r="A44" s="7" t="s">
        <v>35</v>
      </c>
      <c r="B44" s="217">
        <v>4.5</v>
      </c>
      <c r="C44" s="215">
        <v>3.165</v>
      </c>
      <c r="D44" s="243">
        <v>2.734</v>
      </c>
      <c r="E44" s="73">
        <f>B44/C44-1</f>
        <v>0.4218009478672986</v>
      </c>
      <c r="F44" s="71">
        <f>B44/D44-1</f>
        <v>0.64594001463057782</v>
      </c>
      <c r="G44" s="215">
        <f>B44+Sep!G44</f>
        <v>30.3</v>
      </c>
      <c r="H44" s="215">
        <f>C44+Sep!H44</f>
        <v>27.605999999999998</v>
      </c>
      <c r="I44" s="255">
        <v>27.550999999999998</v>
      </c>
      <c r="J44" s="73">
        <f t="shared" si="2"/>
        <v>9.7587480982395336E-2</v>
      </c>
      <c r="K44" s="54">
        <f t="shared" si="3"/>
        <v>9.9778592428586999E-2</v>
      </c>
    </row>
    <row r="45" spans="1:11">
      <c r="A45" s="6" t="s">
        <v>36</v>
      </c>
      <c r="B45" s="217">
        <v>37</v>
      </c>
      <c r="C45" s="215">
        <v>25.399000000000001</v>
      </c>
      <c r="D45" s="243">
        <v>27.571000000000002</v>
      </c>
      <c r="E45" s="73">
        <f>B45/C45-1</f>
        <v>0.45675026575849431</v>
      </c>
      <c r="F45" s="71">
        <f>B45/D45-1</f>
        <v>0.34198977186173862</v>
      </c>
      <c r="G45" s="215">
        <f>B45+Sep!G45</f>
        <v>263.10000000000002</v>
      </c>
      <c r="H45" s="215">
        <f>C45+Sep!H45</f>
        <v>241.505</v>
      </c>
      <c r="I45" s="255">
        <v>255.642</v>
      </c>
      <c r="J45" s="73">
        <f t="shared" si="2"/>
        <v>8.9418438541645218E-2</v>
      </c>
      <c r="K45" s="54">
        <f t="shared" si="3"/>
        <v>2.9173609970192693E-2</v>
      </c>
    </row>
    <row r="46" spans="1:11">
      <c r="A46" s="6" t="s">
        <v>37</v>
      </c>
      <c r="B46" s="217">
        <v>9.6</v>
      </c>
      <c r="C46" s="215">
        <v>5.6029999999999998</v>
      </c>
      <c r="D46" s="243">
        <v>6.9379999999999997</v>
      </c>
      <c r="E46" s="73">
        <f t="shared" si="0"/>
        <v>0.71336783865786191</v>
      </c>
      <c r="F46" s="71">
        <f t="shared" si="1"/>
        <v>0.38368405880657241</v>
      </c>
      <c r="G46" s="215">
        <f>B46+Sep!G46</f>
        <v>82.499999999999986</v>
      </c>
      <c r="H46" s="215">
        <f>C46+Sep!H46</f>
        <v>63.839000000000006</v>
      </c>
      <c r="I46" s="255">
        <v>72.373000000000005</v>
      </c>
      <c r="J46" s="73">
        <f t="shared" si="2"/>
        <v>0.29231347608828417</v>
      </c>
      <c r="K46" s="54">
        <f t="shared" si="3"/>
        <v>0.13992787365453951</v>
      </c>
    </row>
    <row r="47" spans="1:11">
      <c r="A47" s="7" t="s">
        <v>38</v>
      </c>
      <c r="B47" s="217">
        <v>7.5</v>
      </c>
      <c r="C47" s="215">
        <v>5.22</v>
      </c>
      <c r="D47" s="243">
        <v>4.5010000000000003</v>
      </c>
      <c r="E47" s="73">
        <f t="shared" si="0"/>
        <v>0.43678160919540243</v>
      </c>
      <c r="F47" s="71">
        <f t="shared" si="1"/>
        <v>0.6662963785825371</v>
      </c>
      <c r="G47" s="215">
        <f>B47+Sep!G47</f>
        <v>41.4</v>
      </c>
      <c r="H47" s="215">
        <f>C47+Sep!H47</f>
        <v>34.769999999999996</v>
      </c>
      <c r="I47" s="255">
        <v>33.139000000000003</v>
      </c>
      <c r="J47" s="73">
        <f t="shared" si="2"/>
        <v>0.19068162208800699</v>
      </c>
      <c r="K47" s="54">
        <f t="shared" si="3"/>
        <v>0.24928332176589496</v>
      </c>
    </row>
    <row r="48" spans="1:11">
      <c r="A48" s="7" t="s">
        <v>39</v>
      </c>
      <c r="B48" s="217">
        <v>33.4</v>
      </c>
      <c r="C48" s="215">
        <v>19.291</v>
      </c>
      <c r="D48" s="243">
        <v>22.632000000000001</v>
      </c>
      <c r="E48" s="73">
        <f t="shared" si="0"/>
        <v>0.73137732621429663</v>
      </c>
      <c r="F48" s="71">
        <f t="shared" si="1"/>
        <v>0.47578649699540465</v>
      </c>
      <c r="G48" s="215">
        <f>B48+Sep!G48</f>
        <v>180.1</v>
      </c>
      <c r="H48" s="215">
        <f>C48+Sep!H48</f>
        <v>136.33600000000001</v>
      </c>
      <c r="I48" s="255">
        <v>136.83699999999999</v>
      </c>
      <c r="J48" s="73">
        <f t="shared" si="2"/>
        <v>0.32100105621405928</v>
      </c>
      <c r="K48" s="54">
        <f t="shared" si="3"/>
        <v>0.31616448767511707</v>
      </c>
    </row>
    <row r="49" spans="1:11">
      <c r="A49" s="7" t="s">
        <v>40</v>
      </c>
      <c r="B49" s="217">
        <v>3.6</v>
      </c>
      <c r="C49" s="215">
        <v>2.0579999999999998</v>
      </c>
      <c r="D49" s="243">
        <v>2.0409999999999999</v>
      </c>
      <c r="E49" s="73">
        <f t="shared" si="0"/>
        <v>0.74927113702623926</v>
      </c>
      <c r="F49" s="71">
        <f t="shared" si="1"/>
        <v>0.76384125428711425</v>
      </c>
      <c r="G49" s="215">
        <f>B49+Sep!G49</f>
        <v>24.400000000000006</v>
      </c>
      <c r="H49" s="215">
        <f>C49+Sep!H49</f>
        <v>19.286999999999999</v>
      </c>
      <c r="I49" s="255">
        <v>19.41</v>
      </c>
      <c r="J49" s="73">
        <f t="shared" si="2"/>
        <v>0.26510084512884369</v>
      </c>
      <c r="K49" s="54">
        <f t="shared" si="3"/>
        <v>0.25708397733127275</v>
      </c>
    </row>
    <row r="50" spans="1:11">
      <c r="A50" s="6" t="s">
        <v>41</v>
      </c>
      <c r="B50" s="217">
        <v>5.9</v>
      </c>
      <c r="C50" s="215">
        <v>3.0779999999999998</v>
      </c>
      <c r="D50" s="243">
        <v>3.5390000000000001</v>
      </c>
      <c r="E50" s="73">
        <f t="shared" si="0"/>
        <v>0.91682910981156618</v>
      </c>
      <c r="F50" s="71">
        <f t="shared" si="1"/>
        <v>0.66713760949420742</v>
      </c>
      <c r="G50" s="215">
        <f>B50+Sep!G50</f>
        <v>49.900000000000006</v>
      </c>
      <c r="H50" s="215">
        <f>C50+Sep!H50</f>
        <v>35.036999999999999</v>
      </c>
      <c r="I50" s="255">
        <v>36.222999999999999</v>
      </c>
      <c r="J50" s="73">
        <f t="shared" si="2"/>
        <v>0.42420869366669534</v>
      </c>
      <c r="K50" s="54">
        <f t="shared" si="3"/>
        <v>0.37757778207216419</v>
      </c>
    </row>
    <row r="51" spans="1:11">
      <c r="A51" s="7" t="s">
        <v>42</v>
      </c>
      <c r="B51" s="217">
        <v>1.1000000000000001</v>
      </c>
      <c r="C51" s="215">
        <v>0.68500000000000005</v>
      </c>
      <c r="D51" s="243">
        <v>0.71099999999999997</v>
      </c>
      <c r="E51" s="73">
        <f t="shared" si="0"/>
        <v>0.6058394160583942</v>
      </c>
      <c r="F51" s="71">
        <f t="shared" si="1"/>
        <v>0.54711673699015484</v>
      </c>
      <c r="G51" s="215">
        <f>B51+Sep!G51</f>
        <v>9.2999999999999989</v>
      </c>
      <c r="H51" s="215">
        <f>C51+Sep!H51</f>
        <v>7.1739999999999995</v>
      </c>
      <c r="I51" s="255">
        <v>7.0869999999999997</v>
      </c>
      <c r="J51" s="73">
        <f t="shared" si="2"/>
        <v>0.29634792305547797</v>
      </c>
      <c r="K51" s="54">
        <f t="shared" si="3"/>
        <v>0.31226188796387744</v>
      </c>
    </row>
    <row r="52" spans="1:11">
      <c r="A52" s="7"/>
      <c r="B52" s="217"/>
      <c r="C52" s="215">
        <v>0</v>
      </c>
      <c r="D52" s="243">
        <v>0</v>
      </c>
      <c r="E52" s="73"/>
      <c r="F52" s="71"/>
      <c r="G52" s="215"/>
      <c r="H52" s="215"/>
      <c r="I52" s="255">
        <v>0</v>
      </c>
      <c r="J52" s="73"/>
      <c r="K52" s="54"/>
    </row>
    <row r="53" spans="1:11">
      <c r="A53" s="7" t="s">
        <v>43</v>
      </c>
      <c r="B53" s="217">
        <f>SUM(B54:B60)</f>
        <v>68.600000000000009</v>
      </c>
      <c r="C53" s="215">
        <v>49.061999999999998</v>
      </c>
      <c r="D53" s="243">
        <v>49.46</v>
      </c>
      <c r="E53" s="73">
        <f t="shared" si="0"/>
        <v>0.39823080999551608</v>
      </c>
      <c r="F53" s="71">
        <f t="shared" si="1"/>
        <v>0.38697937727456555</v>
      </c>
      <c r="G53" s="215">
        <f>B53+Sep!G53</f>
        <v>443.29999999999995</v>
      </c>
      <c r="H53" s="215">
        <f>C53+Sep!H53</f>
        <v>356.67899999999997</v>
      </c>
      <c r="I53" s="255">
        <v>386.68200000000002</v>
      </c>
      <c r="J53" s="73">
        <f t="shared" si="2"/>
        <v>0.24285421905971472</v>
      </c>
      <c r="K53" s="54">
        <f t="shared" si="3"/>
        <v>0.14642005575640948</v>
      </c>
    </row>
    <row r="54" spans="1:11">
      <c r="A54" s="7" t="s">
        <v>44</v>
      </c>
      <c r="B54" s="217">
        <v>44</v>
      </c>
      <c r="C54" s="215">
        <v>31.206</v>
      </c>
      <c r="D54" s="243">
        <v>32.898000000000003</v>
      </c>
      <c r="E54" s="73">
        <f t="shared" si="0"/>
        <v>0.40998525924501705</v>
      </c>
      <c r="F54" s="71">
        <f t="shared" si="1"/>
        <v>0.33746732324153439</v>
      </c>
      <c r="G54" s="215">
        <f>B54+Sep!G54</f>
        <v>271.89999999999998</v>
      </c>
      <c r="H54" s="215">
        <f>C54+Sep!H54</f>
        <v>212.892</v>
      </c>
      <c r="I54" s="255">
        <v>258.42200000000003</v>
      </c>
      <c r="J54" s="73">
        <f t="shared" si="2"/>
        <v>0.27717340247637301</v>
      </c>
      <c r="K54" s="54">
        <f t="shared" si="3"/>
        <v>5.2155002283087226E-2</v>
      </c>
    </row>
    <row r="55" spans="1:11">
      <c r="A55" s="7" t="s">
        <v>45</v>
      </c>
      <c r="B55" s="217">
        <v>17.2</v>
      </c>
      <c r="C55" s="215">
        <v>13.297000000000001</v>
      </c>
      <c r="D55" s="243">
        <v>12.526999999999999</v>
      </c>
      <c r="E55" s="73">
        <f t="shared" si="0"/>
        <v>0.29352485523050298</v>
      </c>
      <c r="F55" s="71">
        <f t="shared" si="1"/>
        <v>0.37303424602857826</v>
      </c>
      <c r="G55" s="215">
        <f>B55+Sep!G55</f>
        <v>124.10000000000001</v>
      </c>
      <c r="H55" s="215">
        <f>C55+Sep!H55</f>
        <v>108.845</v>
      </c>
      <c r="I55" s="255">
        <v>96.887</v>
      </c>
      <c r="J55" s="73">
        <f t="shared" si="2"/>
        <v>0.14015342918829532</v>
      </c>
      <c r="K55" s="54">
        <f t="shared" si="3"/>
        <v>0.28087359501274678</v>
      </c>
    </row>
    <row r="56" spans="1:11">
      <c r="A56" s="7" t="s">
        <v>46</v>
      </c>
      <c r="B56" s="217">
        <v>3.7</v>
      </c>
      <c r="C56" s="215">
        <v>2.8719999999999999</v>
      </c>
      <c r="D56" s="243">
        <v>1.8340000000000001</v>
      </c>
      <c r="E56" s="73">
        <f t="shared" si="0"/>
        <v>0.28830083565459619</v>
      </c>
      <c r="F56" s="71">
        <f t="shared" si="1"/>
        <v>1.0174482006543077</v>
      </c>
      <c r="G56" s="215">
        <f>B56+Sep!G56</f>
        <v>21.700000000000003</v>
      </c>
      <c r="H56" s="215">
        <f>C56+Sep!H56</f>
        <v>19.026</v>
      </c>
      <c r="I56" s="255">
        <v>13.79</v>
      </c>
      <c r="J56" s="73">
        <f t="shared" si="2"/>
        <v>0.14054451802796186</v>
      </c>
      <c r="K56" s="54">
        <f t="shared" si="3"/>
        <v>0.57360406091370586</v>
      </c>
    </row>
    <row r="57" spans="1:11">
      <c r="A57" s="7" t="s">
        <v>47</v>
      </c>
      <c r="B57" s="217">
        <v>1.1000000000000001</v>
      </c>
      <c r="C57" s="215">
        <v>0.82799999999999996</v>
      </c>
      <c r="D57" s="243">
        <v>0.76200000000000001</v>
      </c>
      <c r="E57" s="73">
        <f t="shared" si="0"/>
        <v>0.32850241545893732</v>
      </c>
      <c r="F57" s="71">
        <f t="shared" si="1"/>
        <v>0.44356955380577445</v>
      </c>
      <c r="G57" s="215">
        <f>B57+Sep!G57</f>
        <v>8.9</v>
      </c>
      <c r="H57" s="215">
        <f>C57+Sep!H57</f>
        <v>7.1050000000000004</v>
      </c>
      <c r="I57" s="255">
        <v>6.5060000000000002</v>
      </c>
      <c r="J57" s="73">
        <f t="shared" si="2"/>
        <v>0.25263898662913431</v>
      </c>
      <c r="K57" s="54">
        <f t="shared" si="3"/>
        <v>0.36796802951122043</v>
      </c>
    </row>
    <row r="58" spans="1:11">
      <c r="A58" s="7" t="s">
        <v>48</v>
      </c>
      <c r="B58" s="217">
        <v>0.4</v>
      </c>
      <c r="C58" s="215">
        <v>0.24399999999999999</v>
      </c>
      <c r="D58" s="243">
        <v>0.42299999999999999</v>
      </c>
      <c r="E58" s="73">
        <f t="shared" si="0"/>
        <v>0.63934426229508201</v>
      </c>
      <c r="F58" s="71">
        <f t="shared" si="1"/>
        <v>-5.4373522458628809E-2</v>
      </c>
      <c r="G58" s="215">
        <f>B58+Sep!G58</f>
        <v>3.4</v>
      </c>
      <c r="H58" s="215">
        <f>C58+Sep!H58</f>
        <v>3.2839999999999998</v>
      </c>
      <c r="I58" s="255">
        <v>3.16</v>
      </c>
      <c r="J58" s="73">
        <f t="shared" si="2"/>
        <v>3.5322777101096214E-2</v>
      </c>
      <c r="K58" s="54">
        <f t="shared" si="3"/>
        <v>7.5949367088607556E-2</v>
      </c>
    </row>
    <row r="59" spans="1:11">
      <c r="A59" s="7" t="s">
        <v>87</v>
      </c>
      <c r="B59" s="217">
        <v>1.4</v>
      </c>
      <c r="C59" s="215">
        <v>0.55400000000000005</v>
      </c>
      <c r="D59" s="243">
        <v>0.876</v>
      </c>
      <c r="E59" s="73">
        <f t="shared" si="0"/>
        <v>1.5270758122743677</v>
      </c>
      <c r="F59" s="71">
        <f t="shared" si="1"/>
        <v>0.59817351598173496</v>
      </c>
      <c r="G59" s="215">
        <f>B59+Sep!G59</f>
        <v>7.1</v>
      </c>
      <c r="H59" s="215">
        <f>C59+Sep!H59</f>
        <v>4.8390000000000013</v>
      </c>
      <c r="I59" s="255">
        <v>6.8840000000000003</v>
      </c>
      <c r="J59" s="73">
        <f t="shared" si="2"/>
        <v>0.46724529861541586</v>
      </c>
      <c r="K59" s="54">
        <f t="shared" si="3"/>
        <v>3.1377106333526861E-2</v>
      </c>
    </row>
    <row r="60" spans="1:11">
      <c r="A60" s="7" t="s">
        <v>49</v>
      </c>
      <c r="B60" s="217">
        <v>0.8</v>
      </c>
      <c r="C60" s="215">
        <v>6.0999999999999999E-2</v>
      </c>
      <c r="D60" s="243">
        <v>0.14000000000000001</v>
      </c>
      <c r="E60" s="73">
        <f t="shared" si="0"/>
        <v>12.114754098360656</v>
      </c>
      <c r="F60" s="71">
        <f t="shared" si="1"/>
        <v>4.7142857142857144</v>
      </c>
      <c r="G60" s="215">
        <f>B60+Sep!G60</f>
        <v>6.1999999999999993</v>
      </c>
      <c r="H60" s="215">
        <f>C60+Sep!H60</f>
        <v>0.68799999999999994</v>
      </c>
      <c r="I60" s="255">
        <v>1.0329999999999999</v>
      </c>
      <c r="J60" s="73">
        <f t="shared" si="2"/>
        <v>8.0116279069767433</v>
      </c>
      <c r="K60" s="54">
        <f t="shared" si="3"/>
        <v>5.001936108422071</v>
      </c>
    </row>
    <row r="61" spans="1:11">
      <c r="A61" s="2"/>
      <c r="B61" s="217"/>
      <c r="C61" s="215">
        <v>0</v>
      </c>
      <c r="D61" s="243">
        <v>0</v>
      </c>
      <c r="E61" s="73"/>
      <c r="F61" s="71"/>
      <c r="G61" s="215"/>
      <c r="H61" s="215"/>
      <c r="I61" s="255">
        <v>0</v>
      </c>
      <c r="J61" s="73"/>
      <c r="K61" s="54"/>
    </row>
    <row r="62" spans="1:11">
      <c r="A62" s="7" t="s">
        <v>50</v>
      </c>
      <c r="B62" s="217">
        <v>1.1000000000000001</v>
      </c>
      <c r="C62" s="215">
        <v>1.145</v>
      </c>
      <c r="D62" s="243">
        <v>1.0669999999999999</v>
      </c>
      <c r="E62" s="73">
        <f t="shared" si="0"/>
        <v>-3.9301310043668103E-2</v>
      </c>
      <c r="F62" s="71">
        <f t="shared" si="1"/>
        <v>3.0927835051546504E-2</v>
      </c>
      <c r="G62" s="215">
        <f>B62+Sep!G62</f>
        <v>9.6999999999999993</v>
      </c>
      <c r="H62" s="215">
        <f>C62+Sep!H62</f>
        <v>10.778999999999998</v>
      </c>
      <c r="I62" s="255">
        <v>8.2189999999999994</v>
      </c>
      <c r="J62" s="73">
        <f t="shared" si="2"/>
        <v>-0.10010205028295749</v>
      </c>
      <c r="K62" s="54">
        <f t="shared" si="3"/>
        <v>0.18019223749847924</v>
      </c>
    </row>
    <row r="63" spans="1:11">
      <c r="A63" s="7" t="s">
        <v>51</v>
      </c>
      <c r="B63" s="217">
        <v>1</v>
      </c>
      <c r="C63" s="215">
        <v>0.42799999999999999</v>
      </c>
      <c r="D63" s="243">
        <v>0.46200000000000002</v>
      </c>
      <c r="E63" s="73">
        <f t="shared" si="0"/>
        <v>1.3364485981308412</v>
      </c>
      <c r="F63" s="71">
        <f t="shared" si="1"/>
        <v>1.1645021645021645</v>
      </c>
      <c r="G63" s="215">
        <f>B63+Sep!G63</f>
        <v>3.4</v>
      </c>
      <c r="H63" s="215">
        <f>C63+Sep!H63</f>
        <v>2.2709999999999999</v>
      </c>
      <c r="I63" s="255">
        <v>2.3039999999999998</v>
      </c>
      <c r="J63" s="73">
        <f t="shared" si="2"/>
        <v>0.49713782474680768</v>
      </c>
      <c r="K63" s="54">
        <f t="shared" si="3"/>
        <v>0.47569444444444442</v>
      </c>
    </row>
    <row r="64" spans="1:11">
      <c r="A64" s="7" t="s">
        <v>52</v>
      </c>
      <c r="B64" s="217">
        <v>2.2000000000000002</v>
      </c>
      <c r="C64" s="215">
        <v>1.2290000000000001</v>
      </c>
      <c r="D64" s="243">
        <v>1.288</v>
      </c>
      <c r="E64" s="73">
        <f>B64/C64-1</f>
        <v>0.79007323026851095</v>
      </c>
      <c r="F64" s="71">
        <f>B64/D64-1</f>
        <v>0.70807453416149069</v>
      </c>
      <c r="G64" s="215">
        <f>B64+Sep!G64</f>
        <v>13.2</v>
      </c>
      <c r="H64" s="215">
        <f>C64+Sep!H64</f>
        <v>9.1150000000000002</v>
      </c>
      <c r="I64" s="255">
        <v>7.0919999999999996</v>
      </c>
      <c r="J64" s="73">
        <f t="shared" si="2"/>
        <v>0.44816236972024126</v>
      </c>
      <c r="K64" s="54">
        <f t="shared" si="3"/>
        <v>0.86125211505922161</v>
      </c>
    </row>
    <row r="65" spans="1:11">
      <c r="A65" s="7" t="s">
        <v>53</v>
      </c>
      <c r="B65" s="217">
        <v>1.5</v>
      </c>
      <c r="C65" s="215">
        <v>0.97499999999999998</v>
      </c>
      <c r="D65" s="243">
        <v>0.90100000000000002</v>
      </c>
      <c r="E65" s="73">
        <f>B65/C65-1</f>
        <v>0.53846153846153855</v>
      </c>
      <c r="F65" s="71">
        <f>B65/D65-1</f>
        <v>0.66481687014428403</v>
      </c>
      <c r="G65" s="215">
        <f>B65+Sep!G65</f>
        <v>9.3000000000000007</v>
      </c>
      <c r="H65" s="215">
        <f>C65+Sep!H65</f>
        <v>5.6959999999999997</v>
      </c>
      <c r="I65" s="255">
        <v>4.4290000000000003</v>
      </c>
      <c r="J65" s="73">
        <f t="shared" si="2"/>
        <v>0.63272471910112382</v>
      </c>
      <c r="K65" s="54">
        <f t="shared" si="3"/>
        <v>1.0997967938586588</v>
      </c>
    </row>
    <row r="66" spans="1:11">
      <c r="A66" s="2"/>
      <c r="B66" s="217"/>
      <c r="C66" s="215">
        <v>0</v>
      </c>
      <c r="D66" s="243">
        <v>0</v>
      </c>
      <c r="E66" s="73"/>
      <c r="F66" s="71"/>
      <c r="G66" s="215"/>
      <c r="H66" s="215"/>
      <c r="I66" s="255">
        <v>0</v>
      </c>
      <c r="J66" s="73"/>
      <c r="K66" s="54"/>
    </row>
    <row r="67" spans="1:11">
      <c r="A67" s="7" t="s">
        <v>54</v>
      </c>
      <c r="B67" s="217">
        <v>11</v>
      </c>
      <c r="C67" s="215">
        <v>4.4870000000000001</v>
      </c>
      <c r="D67" s="243">
        <v>5.798</v>
      </c>
      <c r="E67" s="73">
        <f t="shared" si="0"/>
        <v>1.4515266324938709</v>
      </c>
      <c r="F67" s="71">
        <f t="shared" si="1"/>
        <v>0.89720593308037255</v>
      </c>
      <c r="G67" s="215">
        <f>B67+Sep!G67</f>
        <v>65.7</v>
      </c>
      <c r="H67" s="215">
        <f>C67+Sep!H67</f>
        <v>40.816000000000003</v>
      </c>
      <c r="I67" s="255">
        <v>50.106999999999999</v>
      </c>
      <c r="J67" s="73">
        <f t="shared" si="2"/>
        <v>0.60966287730301838</v>
      </c>
      <c r="K67" s="54">
        <f t="shared" si="3"/>
        <v>0.31119404474424739</v>
      </c>
    </row>
    <row r="68" spans="1:11">
      <c r="A68" s="7" t="s">
        <v>55</v>
      </c>
      <c r="B68" s="217">
        <v>2.9</v>
      </c>
      <c r="C68" s="215">
        <v>1.3560000000000001</v>
      </c>
      <c r="D68" s="243">
        <v>1.9419999999999999</v>
      </c>
      <c r="E68" s="73">
        <f t="shared" si="0"/>
        <v>1.1386430678466075</v>
      </c>
      <c r="F68" s="71">
        <f t="shared" si="1"/>
        <v>0.49330587023686912</v>
      </c>
      <c r="G68" s="215">
        <f>B68+Sep!G68</f>
        <v>17.099999999999998</v>
      </c>
      <c r="H68" s="215">
        <f>C68+Sep!H68</f>
        <v>12.517999999999999</v>
      </c>
      <c r="I68" s="255">
        <v>13.236000000000001</v>
      </c>
      <c r="J68" s="73">
        <f t="shared" si="2"/>
        <v>0.36603291260584747</v>
      </c>
      <c r="K68" s="54">
        <f t="shared" si="3"/>
        <v>0.29193109700815945</v>
      </c>
    </row>
    <row r="69" spans="1:11">
      <c r="A69" s="7" t="s">
        <v>56</v>
      </c>
      <c r="B69" s="217">
        <v>0.7</v>
      </c>
      <c r="C69" s="215">
        <v>0.26900000000000002</v>
      </c>
      <c r="D69" s="243">
        <v>0.29599999999999999</v>
      </c>
      <c r="E69" s="73">
        <f t="shared" si="0"/>
        <v>1.602230483271375</v>
      </c>
      <c r="F69" s="71">
        <f t="shared" si="1"/>
        <v>1.3648648648648649</v>
      </c>
      <c r="G69" s="215">
        <f>B69+Sep!G69</f>
        <v>4.6999999999999993</v>
      </c>
      <c r="H69" s="215">
        <f>C69+Sep!H69</f>
        <v>3.2189999999999999</v>
      </c>
      <c r="I69" s="255">
        <v>2.3119999999999998</v>
      </c>
      <c r="J69" s="73">
        <f t="shared" si="2"/>
        <v>0.46008077042559781</v>
      </c>
      <c r="K69" s="54">
        <f t="shared" si="3"/>
        <v>1.0328719723183388</v>
      </c>
    </row>
    <row r="70" spans="1:11">
      <c r="A70" s="7" t="s">
        <v>88</v>
      </c>
      <c r="B70" s="217">
        <v>0.4</v>
      </c>
      <c r="C70" s="215">
        <v>0.12</v>
      </c>
      <c r="D70" s="243">
        <v>0.39600000000000002</v>
      </c>
      <c r="E70" s="73">
        <f t="shared" ref="E70:E96" si="4">B70/C70-1</f>
        <v>2.3333333333333335</v>
      </c>
      <c r="F70" s="71">
        <f t="shared" ref="F70:F96" si="5">B70/D70-1</f>
        <v>1.0101010101010166E-2</v>
      </c>
      <c r="G70" s="215">
        <f>B70+Sep!G70</f>
        <v>2.1999999999999997</v>
      </c>
      <c r="H70" s="215">
        <f>C70+Sep!H70</f>
        <v>1.4529999999999998</v>
      </c>
      <c r="I70" s="255">
        <v>2.2730000000000001</v>
      </c>
      <c r="J70" s="73">
        <f t="shared" ref="J70:J96" si="6">G70/H70-1</f>
        <v>0.51410874053682032</v>
      </c>
      <c r="K70" s="54">
        <f t="shared" ref="K70:K96" si="7">G70/I70-1</f>
        <v>-3.2116146062472706E-2</v>
      </c>
    </row>
    <row r="71" spans="1:11">
      <c r="A71" s="7" t="s">
        <v>89</v>
      </c>
      <c r="B71" s="217">
        <v>0.5</v>
      </c>
      <c r="C71" s="215">
        <v>0.28999999999999998</v>
      </c>
      <c r="D71" s="243">
        <v>0.40400000000000003</v>
      </c>
      <c r="E71" s="73">
        <f t="shared" si="4"/>
        <v>0.72413793103448287</v>
      </c>
      <c r="F71" s="71">
        <f t="shared" si="5"/>
        <v>0.23762376237623761</v>
      </c>
      <c r="G71" s="215">
        <f>B71+Sep!G71</f>
        <v>4.8999999999999995</v>
      </c>
      <c r="H71" s="215">
        <f>C71+Sep!H71</f>
        <v>3.5870000000000002</v>
      </c>
      <c r="I71" s="255">
        <v>4.0759999999999996</v>
      </c>
      <c r="J71" s="73">
        <f t="shared" si="6"/>
        <v>0.3660440479509337</v>
      </c>
      <c r="K71" s="54">
        <f t="shared" si="7"/>
        <v>0.20215897939156036</v>
      </c>
    </row>
    <row r="72" spans="1:11">
      <c r="A72" s="7" t="s">
        <v>59</v>
      </c>
      <c r="B72" s="217">
        <v>12.3</v>
      </c>
      <c r="C72" s="215">
        <v>5.7089999999999996</v>
      </c>
      <c r="D72" s="243">
        <v>7.048</v>
      </c>
      <c r="E72" s="73">
        <f t="shared" si="4"/>
        <v>1.1544929059379929</v>
      </c>
      <c r="F72" s="71">
        <f t="shared" si="5"/>
        <v>0.74517593643586832</v>
      </c>
      <c r="G72" s="215">
        <f>B72+Sep!G72</f>
        <v>63</v>
      </c>
      <c r="H72" s="215">
        <f>C72+Sep!H72</f>
        <v>40.132999999999996</v>
      </c>
      <c r="I72" s="255">
        <v>37.447000000000003</v>
      </c>
      <c r="J72" s="73">
        <f t="shared" si="6"/>
        <v>0.56978047990431824</v>
      </c>
      <c r="K72" s="54">
        <f t="shared" si="7"/>
        <v>0.68237776056826971</v>
      </c>
    </row>
    <row r="73" spans="1:11">
      <c r="A73" s="7" t="s">
        <v>60</v>
      </c>
      <c r="B73" s="217">
        <v>1.4</v>
      </c>
      <c r="C73" s="215">
        <v>0.78300000000000003</v>
      </c>
      <c r="D73" s="243">
        <v>1.1619999999999999</v>
      </c>
      <c r="E73" s="73">
        <f t="shared" si="4"/>
        <v>0.78799489144316714</v>
      </c>
      <c r="F73" s="71">
        <f t="shared" si="5"/>
        <v>0.20481927710843384</v>
      </c>
      <c r="G73" s="215">
        <f>B73+Sep!G73</f>
        <v>8.5</v>
      </c>
      <c r="H73" s="215">
        <f>C73+Sep!H73</f>
        <v>6.3010000000000002</v>
      </c>
      <c r="I73" s="255">
        <v>7.2960000000000003</v>
      </c>
      <c r="J73" s="73">
        <f t="shared" si="6"/>
        <v>0.34899222345659409</v>
      </c>
      <c r="K73" s="54">
        <f t="shared" si="7"/>
        <v>0.16502192982456143</v>
      </c>
    </row>
    <row r="74" spans="1:11">
      <c r="A74" s="7" t="s">
        <v>61</v>
      </c>
      <c r="B74" s="217">
        <v>2.8</v>
      </c>
      <c r="C74" s="215">
        <v>2.0579999999999998</v>
      </c>
      <c r="D74" s="243">
        <v>1.9279999999999999</v>
      </c>
      <c r="E74" s="73">
        <f t="shared" si="4"/>
        <v>0.36054421768707479</v>
      </c>
      <c r="F74" s="71">
        <f t="shared" si="5"/>
        <v>0.4522821576763485</v>
      </c>
      <c r="G74" s="215">
        <f>B74+Sep!G74</f>
        <v>17.899999999999999</v>
      </c>
      <c r="H74" s="215">
        <f>C74+Sep!H74</f>
        <v>12.605000000000002</v>
      </c>
      <c r="I74" s="255">
        <v>12.087999999999999</v>
      </c>
      <c r="J74" s="73">
        <f t="shared" si="6"/>
        <v>0.42007140023800038</v>
      </c>
      <c r="K74" s="54">
        <f t="shared" si="7"/>
        <v>0.48080741230972857</v>
      </c>
    </row>
    <row r="75" spans="1:11">
      <c r="A75" s="7" t="s">
        <v>62</v>
      </c>
      <c r="B75" s="217">
        <v>1.7</v>
      </c>
      <c r="C75" s="215">
        <v>0.72799999999999998</v>
      </c>
      <c r="D75" s="243">
        <v>1.1359999999999999</v>
      </c>
      <c r="E75" s="73">
        <f t="shared" si="4"/>
        <v>1.3351648351648353</v>
      </c>
      <c r="F75" s="71">
        <f t="shared" si="5"/>
        <v>0.49647887323943674</v>
      </c>
      <c r="G75" s="215">
        <f>B75+Sep!G75</f>
        <v>11.1</v>
      </c>
      <c r="H75" s="215">
        <f>C75+Sep!H75</f>
        <v>6.2379999999999995</v>
      </c>
      <c r="I75" s="255">
        <v>7.6459999999999999</v>
      </c>
      <c r="J75" s="73">
        <f t="shared" si="6"/>
        <v>0.77941647964091065</v>
      </c>
      <c r="K75" s="54">
        <f t="shared" si="7"/>
        <v>0.45173947161914718</v>
      </c>
    </row>
    <row r="76" spans="1:11">
      <c r="A76" s="7" t="s">
        <v>63</v>
      </c>
      <c r="B76" s="217">
        <v>3.4</v>
      </c>
      <c r="C76" s="215">
        <v>1.405</v>
      </c>
      <c r="D76" s="243">
        <v>1.4019999999999999</v>
      </c>
      <c r="E76" s="73">
        <f t="shared" si="4"/>
        <v>1.4199288256227756</v>
      </c>
      <c r="F76" s="71">
        <f t="shared" si="5"/>
        <v>1.4251069900142652</v>
      </c>
      <c r="G76" s="215">
        <f>B76+Sep!G76</f>
        <v>23.5</v>
      </c>
      <c r="H76" s="215">
        <f>C76+Sep!H76</f>
        <v>14.333</v>
      </c>
      <c r="I76" s="255">
        <v>13.696</v>
      </c>
      <c r="J76" s="73">
        <f t="shared" si="6"/>
        <v>0.63957301332589123</v>
      </c>
      <c r="K76" s="54">
        <f t="shared" si="7"/>
        <v>0.71582943925233655</v>
      </c>
    </row>
    <row r="77" spans="1:11">
      <c r="A77" s="7" t="s">
        <v>64</v>
      </c>
      <c r="B77" s="217">
        <v>0.7</v>
      </c>
      <c r="C77" s="215">
        <v>0.70899999999999996</v>
      </c>
      <c r="D77" s="243">
        <v>0.41099999999999998</v>
      </c>
      <c r="E77" s="73">
        <f t="shared" si="4"/>
        <v>-1.2693935119887145E-2</v>
      </c>
      <c r="F77" s="71">
        <f t="shared" si="5"/>
        <v>0.70316301703163009</v>
      </c>
      <c r="G77" s="215">
        <f>B77+Sep!G77</f>
        <v>5.3</v>
      </c>
      <c r="H77" s="215">
        <f>C77+Sep!H77</f>
        <v>4.93</v>
      </c>
      <c r="I77" s="255">
        <v>3.516</v>
      </c>
      <c r="J77" s="73">
        <f t="shared" si="6"/>
        <v>7.5050709939148197E-2</v>
      </c>
      <c r="K77" s="54">
        <f t="shared" si="7"/>
        <v>0.50739476678043216</v>
      </c>
    </row>
    <row r="78" spans="1:11">
      <c r="A78" s="7"/>
      <c r="B78" s="217"/>
      <c r="C78" s="215">
        <v>0</v>
      </c>
      <c r="D78" s="243">
        <v>0</v>
      </c>
      <c r="E78" s="73"/>
      <c r="F78" s="71"/>
      <c r="G78" s="215"/>
      <c r="H78" s="215"/>
      <c r="I78" s="255">
        <v>0</v>
      </c>
      <c r="J78" s="73"/>
      <c r="K78" s="54"/>
    </row>
    <row r="79" spans="1:11">
      <c r="A79" s="7" t="s">
        <v>65</v>
      </c>
      <c r="B79" s="217">
        <f>SUM(B80:B83)</f>
        <v>108</v>
      </c>
      <c r="C79" s="215">
        <v>68.921000000000006</v>
      </c>
      <c r="D79" s="243">
        <v>73.915000000000006</v>
      </c>
      <c r="E79" s="73">
        <f t="shared" si="4"/>
        <v>0.56701150592707572</v>
      </c>
      <c r="F79" s="71">
        <f t="shared" si="5"/>
        <v>0.46113779341135075</v>
      </c>
      <c r="G79" s="215">
        <f>B79+Sep!G79</f>
        <v>849.80000000000007</v>
      </c>
      <c r="H79" s="215">
        <f>C79+Sep!H79</f>
        <v>684.03300000000002</v>
      </c>
      <c r="I79" s="255">
        <v>688.47199999999998</v>
      </c>
      <c r="J79" s="73">
        <f t="shared" si="6"/>
        <v>0.24233772347240556</v>
      </c>
      <c r="K79" s="54">
        <f t="shared" si="7"/>
        <v>0.23432761245192268</v>
      </c>
    </row>
    <row r="80" spans="1:11">
      <c r="A80" s="7" t="s">
        <v>66</v>
      </c>
      <c r="B80" s="217">
        <v>77.7</v>
      </c>
      <c r="C80" s="215">
        <v>50.817</v>
      </c>
      <c r="D80" s="243">
        <v>53.22</v>
      </c>
      <c r="E80" s="73">
        <f t="shared" si="4"/>
        <v>0.52901588051242698</v>
      </c>
      <c r="F80" s="71">
        <f t="shared" si="5"/>
        <v>0.45997745208568208</v>
      </c>
      <c r="G80" s="215">
        <f>B80+Sep!G80</f>
        <v>650.50000000000011</v>
      </c>
      <c r="H80" s="215">
        <f>C80+Sep!H80</f>
        <v>535.01300000000003</v>
      </c>
      <c r="I80" s="255">
        <v>526.25300000000004</v>
      </c>
      <c r="J80" s="73">
        <f t="shared" si="6"/>
        <v>0.21585830624676428</v>
      </c>
      <c r="K80" s="54">
        <f t="shared" si="7"/>
        <v>0.23609746642774487</v>
      </c>
    </row>
    <row r="81" spans="1:11">
      <c r="A81" s="7" t="s">
        <v>67</v>
      </c>
      <c r="B81" s="217">
        <v>9.5</v>
      </c>
      <c r="C81" s="215">
        <v>5.8419999999999996</v>
      </c>
      <c r="D81" s="243">
        <v>6.4320000000000004</v>
      </c>
      <c r="E81" s="73">
        <f t="shared" si="4"/>
        <v>0.62615542622389597</v>
      </c>
      <c r="F81" s="71">
        <f t="shared" si="5"/>
        <v>0.47699004975124359</v>
      </c>
      <c r="G81" s="215">
        <f>B81+Sep!G81</f>
        <v>68.199999999999989</v>
      </c>
      <c r="H81" s="215">
        <f>C81+Sep!H81</f>
        <v>52.868000000000002</v>
      </c>
      <c r="I81" s="255">
        <v>54.762</v>
      </c>
      <c r="J81" s="73">
        <f t="shared" si="6"/>
        <v>0.29000529620942705</v>
      </c>
      <c r="K81" s="54">
        <f t="shared" si="7"/>
        <v>0.24538913845367194</v>
      </c>
    </row>
    <row r="82" spans="1:11">
      <c r="A82" s="7" t="s">
        <v>68</v>
      </c>
      <c r="B82" s="217">
        <v>3</v>
      </c>
      <c r="C82" s="215">
        <v>1.6619999999999999</v>
      </c>
      <c r="D82" s="243">
        <v>2.9990000000000001</v>
      </c>
      <c r="E82" s="73">
        <f t="shared" si="4"/>
        <v>0.80505415162454885</v>
      </c>
      <c r="F82" s="71">
        <f t="shared" si="5"/>
        <v>3.3344448149374983E-4</v>
      </c>
      <c r="G82" s="215">
        <f>B82+Sep!G82</f>
        <v>22.7</v>
      </c>
      <c r="H82" s="215">
        <f>C82+Sep!H82</f>
        <v>16.783999999999999</v>
      </c>
      <c r="I82" s="255">
        <v>19.420999999999999</v>
      </c>
      <c r="J82" s="73">
        <f t="shared" si="6"/>
        <v>0.35247855100095338</v>
      </c>
      <c r="K82" s="54">
        <f t="shared" si="7"/>
        <v>0.16883785592914879</v>
      </c>
    </row>
    <row r="83" spans="1:11">
      <c r="A83" s="7" t="s">
        <v>69</v>
      </c>
      <c r="B83" s="217">
        <f>2.3+2.2+SUM(B84:B89)</f>
        <v>17.8</v>
      </c>
      <c r="C83" s="215">
        <v>10.6</v>
      </c>
      <c r="D83" s="243">
        <v>11.263999999999999</v>
      </c>
      <c r="E83" s="73">
        <f t="shared" si="4"/>
        <v>0.679245283018868</v>
      </c>
      <c r="F83" s="71">
        <f t="shared" si="5"/>
        <v>0.58025568181818188</v>
      </c>
      <c r="G83" s="215">
        <f>B83+Sep!G83</f>
        <v>115.69999999999999</v>
      </c>
      <c r="H83" s="215">
        <f>C83+Sep!H83</f>
        <v>79.367999999999995</v>
      </c>
      <c r="I83" s="255">
        <v>88.036000000000001</v>
      </c>
      <c r="J83" s="73">
        <f t="shared" si="6"/>
        <v>0.45776635419816536</v>
      </c>
      <c r="K83" s="54">
        <f t="shared" si="7"/>
        <v>0.31423508564678082</v>
      </c>
    </row>
    <row r="84" spans="1:11">
      <c r="A84" s="7" t="s">
        <v>70</v>
      </c>
      <c r="B84" s="217">
        <v>0.4</v>
      </c>
      <c r="C84" s="215">
        <v>0.221</v>
      </c>
      <c r="D84" s="243">
        <v>0.186</v>
      </c>
      <c r="E84" s="73">
        <f t="shared" si="4"/>
        <v>0.80995475113122173</v>
      </c>
      <c r="F84" s="71">
        <f t="shared" si="5"/>
        <v>1.1505376344086025</v>
      </c>
      <c r="G84" s="215">
        <f>B84+Sep!G84</f>
        <v>3.2</v>
      </c>
      <c r="H84" s="215">
        <f>C84+Sep!H84</f>
        <v>2.5840000000000005</v>
      </c>
      <c r="I84" s="255">
        <v>2.6560000000000001</v>
      </c>
      <c r="J84" s="73">
        <f t="shared" si="6"/>
        <v>0.23839009287925683</v>
      </c>
      <c r="K84" s="54">
        <f t="shared" si="7"/>
        <v>0.20481927710843384</v>
      </c>
    </row>
    <row r="85" spans="1:11">
      <c r="A85" s="7" t="s">
        <v>71</v>
      </c>
      <c r="B85" s="217">
        <v>2.6</v>
      </c>
      <c r="C85" s="215">
        <v>1.887</v>
      </c>
      <c r="D85" s="243">
        <v>2.3559999999999999</v>
      </c>
      <c r="E85" s="73">
        <f t="shared" si="4"/>
        <v>0.3778484366719661</v>
      </c>
      <c r="F85" s="71">
        <f t="shared" si="5"/>
        <v>0.10356536502546709</v>
      </c>
      <c r="G85" s="215">
        <f>B85+Sep!G85</f>
        <v>27.900000000000002</v>
      </c>
      <c r="H85" s="215">
        <f>C85+Sep!H85</f>
        <v>21.931000000000001</v>
      </c>
      <c r="I85" s="255">
        <v>21.218</v>
      </c>
      <c r="J85" s="73">
        <f t="shared" si="6"/>
        <v>0.27217181159089887</v>
      </c>
      <c r="K85" s="54">
        <f t="shared" si="7"/>
        <v>0.31492129324158746</v>
      </c>
    </row>
    <row r="86" spans="1:11">
      <c r="A86" s="7" t="s">
        <v>72</v>
      </c>
      <c r="B86" s="217">
        <v>7.6</v>
      </c>
      <c r="C86" s="215">
        <v>4.415</v>
      </c>
      <c r="D86" s="243">
        <v>4.7</v>
      </c>
      <c r="E86" s="73">
        <f t="shared" si="4"/>
        <v>0.72140430351075868</v>
      </c>
      <c r="F86" s="71">
        <f t="shared" si="5"/>
        <v>0.61702127659574457</v>
      </c>
      <c r="G86" s="215">
        <f>B86+Sep!G86</f>
        <v>44.6</v>
      </c>
      <c r="H86" s="215">
        <f>C86+Sep!H86</f>
        <v>26.626000000000001</v>
      </c>
      <c r="I86" s="255">
        <v>36.521000000000001</v>
      </c>
      <c r="J86" s="73">
        <f t="shared" si="6"/>
        <v>0.67505445804852404</v>
      </c>
      <c r="K86" s="54">
        <f t="shared" si="7"/>
        <v>0.22121519125982303</v>
      </c>
    </row>
    <row r="87" spans="1:11">
      <c r="A87" s="7" t="s">
        <v>73</v>
      </c>
      <c r="B87" s="217">
        <v>0.8</v>
      </c>
      <c r="C87" s="215">
        <v>0.58599999999999997</v>
      </c>
      <c r="D87" s="243">
        <v>0.69899999999999995</v>
      </c>
      <c r="E87" s="73">
        <f t="shared" si="4"/>
        <v>0.36518771331058031</v>
      </c>
      <c r="F87" s="71">
        <f t="shared" si="5"/>
        <v>0.14449213161659524</v>
      </c>
      <c r="G87" s="215">
        <f>B87+Sep!G87</f>
        <v>6.5</v>
      </c>
      <c r="H87" s="215">
        <f>C87+Sep!H87</f>
        <v>4.7249999999999996</v>
      </c>
      <c r="I87" s="255">
        <v>4.9459999999999997</v>
      </c>
      <c r="J87" s="73">
        <f t="shared" si="6"/>
        <v>0.37566137566137581</v>
      </c>
      <c r="K87" s="54">
        <f t="shared" si="7"/>
        <v>0.3141932875050546</v>
      </c>
    </row>
    <row r="88" spans="1:11">
      <c r="A88" s="7" t="s">
        <v>74</v>
      </c>
      <c r="B88" s="217">
        <v>1.8</v>
      </c>
      <c r="C88" s="215">
        <v>0.86199999999999999</v>
      </c>
      <c r="D88" s="243">
        <v>0.97399999999999998</v>
      </c>
      <c r="E88" s="73">
        <f t="shared" si="4"/>
        <v>1.0881670533642693</v>
      </c>
      <c r="F88" s="71">
        <f t="shared" si="5"/>
        <v>0.84804928131416846</v>
      </c>
      <c r="G88" s="215">
        <f>B88+Sep!G88</f>
        <v>9.9</v>
      </c>
      <c r="H88" s="215">
        <f>C88+Sep!H88</f>
        <v>6.644000000000001</v>
      </c>
      <c r="I88" s="255">
        <v>6.7560000000000002</v>
      </c>
      <c r="J88" s="73">
        <f t="shared" si="6"/>
        <v>0.49006622516556275</v>
      </c>
      <c r="K88" s="54">
        <f t="shared" si="7"/>
        <v>0.46536412078152756</v>
      </c>
    </row>
    <row r="89" spans="1:11">
      <c r="A89" s="7" t="s">
        <v>75</v>
      </c>
      <c r="B89" s="217">
        <v>0.1</v>
      </c>
      <c r="C89" s="215">
        <v>8.4000000000000005E-2</v>
      </c>
      <c r="D89" s="243">
        <v>9.7000000000000003E-2</v>
      </c>
      <c r="E89" s="73">
        <f t="shared" si="4"/>
        <v>0.19047619047619047</v>
      </c>
      <c r="F89" s="71">
        <f t="shared" si="5"/>
        <v>3.0927835051546504E-2</v>
      </c>
      <c r="G89" s="215">
        <f>B89+Sep!G89</f>
        <v>2.0000000000000004</v>
      </c>
      <c r="H89" s="215">
        <f>C89+Sep!H89</f>
        <v>0.96599999999999997</v>
      </c>
      <c r="I89" s="255">
        <v>1.1140000000000001</v>
      </c>
      <c r="J89" s="73">
        <f t="shared" si="6"/>
        <v>1.0703933747412013</v>
      </c>
      <c r="K89" s="54">
        <f t="shared" si="7"/>
        <v>0.79533213644524259</v>
      </c>
    </row>
    <row r="90" spans="1:11">
      <c r="A90" s="7"/>
      <c r="B90" s="217"/>
      <c r="C90" s="215">
        <v>0</v>
      </c>
      <c r="D90" s="243">
        <v>0</v>
      </c>
      <c r="E90" s="73"/>
      <c r="F90" s="71"/>
      <c r="G90" s="215"/>
      <c r="H90" s="215"/>
      <c r="I90" s="255">
        <v>0</v>
      </c>
      <c r="J90" s="73"/>
      <c r="K90" s="54"/>
    </row>
    <row r="91" spans="1:11">
      <c r="A91" s="7" t="s">
        <v>76</v>
      </c>
      <c r="B91" s="217">
        <f>SUM(B92:B94)</f>
        <v>7</v>
      </c>
      <c r="C91" s="215">
        <v>2.593</v>
      </c>
      <c r="D91" s="243">
        <v>3.0569999999999999</v>
      </c>
      <c r="E91" s="73">
        <f t="shared" si="4"/>
        <v>1.6995757809487082</v>
      </c>
      <c r="F91" s="71">
        <f t="shared" si="5"/>
        <v>1.2898266274124959</v>
      </c>
      <c r="G91" s="215">
        <f>B91+Sep!G91</f>
        <v>38.9</v>
      </c>
      <c r="H91" s="215">
        <f>C91+Sep!H91</f>
        <v>27.522000000000002</v>
      </c>
      <c r="I91" s="255">
        <v>28.45</v>
      </c>
      <c r="J91" s="73">
        <f t="shared" si="6"/>
        <v>0.41341472276724067</v>
      </c>
      <c r="K91" s="54">
        <f t="shared" si="7"/>
        <v>0.36731107205623892</v>
      </c>
    </row>
    <row r="92" spans="1:11">
      <c r="A92" s="7" t="s">
        <v>77</v>
      </c>
      <c r="B92" s="217">
        <v>5.7</v>
      </c>
      <c r="C92" s="215">
        <v>2.1259999999999999</v>
      </c>
      <c r="D92" s="243">
        <v>2.6160000000000001</v>
      </c>
      <c r="E92" s="73">
        <f t="shared" si="4"/>
        <v>1.6810912511759173</v>
      </c>
      <c r="F92" s="71">
        <f t="shared" si="5"/>
        <v>1.1788990825688073</v>
      </c>
      <c r="G92" s="215">
        <f>B92+Sep!G92</f>
        <v>33.5</v>
      </c>
      <c r="H92" s="215">
        <f>C92+Sep!H92</f>
        <v>23.818999999999999</v>
      </c>
      <c r="I92" s="255">
        <v>24.236999999999998</v>
      </c>
      <c r="J92" s="73">
        <f t="shared" si="6"/>
        <v>0.40644023678575936</v>
      </c>
      <c r="K92" s="54">
        <f t="shared" si="7"/>
        <v>0.38218426372900938</v>
      </c>
    </row>
    <row r="93" spans="1:11">
      <c r="A93" s="7" t="s">
        <v>78</v>
      </c>
      <c r="B93" s="217">
        <v>1</v>
      </c>
      <c r="C93" s="215">
        <v>0.32100000000000001</v>
      </c>
      <c r="D93" s="243">
        <v>0.371</v>
      </c>
      <c r="E93" s="73">
        <f t="shared" si="4"/>
        <v>2.1152647975077881</v>
      </c>
      <c r="F93" s="71">
        <f t="shared" si="5"/>
        <v>1.6954177897574123</v>
      </c>
      <c r="G93" s="215">
        <f>B93+Sep!G93</f>
        <v>4.0999999999999996</v>
      </c>
      <c r="H93" s="215">
        <f>C93+Sep!H93</f>
        <v>2.8290000000000002</v>
      </c>
      <c r="I93" s="255">
        <v>3.0070000000000001</v>
      </c>
      <c r="J93" s="73">
        <f t="shared" si="6"/>
        <v>0.44927536231884035</v>
      </c>
      <c r="K93" s="54">
        <f t="shared" si="7"/>
        <v>0.36348520119720629</v>
      </c>
    </row>
    <row r="94" spans="1:11">
      <c r="A94" s="7" t="s">
        <v>19</v>
      </c>
      <c r="B94" s="217">
        <v>0.3</v>
      </c>
      <c r="C94" s="215">
        <v>0.14599999999999999</v>
      </c>
      <c r="D94" s="243">
        <v>7.0000000000000007E-2</v>
      </c>
      <c r="E94" s="73">
        <f t="shared" si="4"/>
        <v>1.0547945205479454</v>
      </c>
      <c r="F94" s="71">
        <f t="shared" si="5"/>
        <v>3.2857142857142856</v>
      </c>
      <c r="G94" s="215">
        <f>B94+Sep!G94</f>
        <v>1.3</v>
      </c>
      <c r="H94" s="215">
        <f>C94+Sep!H94</f>
        <v>0.874</v>
      </c>
      <c r="I94" s="255">
        <v>1.206</v>
      </c>
      <c r="J94" s="73">
        <f t="shared" si="6"/>
        <v>0.48741418764302069</v>
      </c>
      <c r="K94" s="54">
        <f t="shared" si="7"/>
        <v>7.7943615257048071E-2</v>
      </c>
    </row>
    <row r="95" spans="1:11">
      <c r="A95" s="7"/>
      <c r="B95" s="217"/>
      <c r="C95" s="215">
        <v>0</v>
      </c>
      <c r="D95" s="243">
        <v>0</v>
      </c>
      <c r="E95" s="73"/>
      <c r="F95" s="71"/>
      <c r="G95" s="215"/>
      <c r="H95" s="215"/>
      <c r="I95" s="255">
        <v>0</v>
      </c>
      <c r="J95" s="73"/>
      <c r="K95" s="54"/>
    </row>
    <row r="96" spans="1:11" ht="13.5" thickBot="1">
      <c r="A96" s="9" t="s">
        <v>79</v>
      </c>
      <c r="B96" s="312">
        <v>0.7</v>
      </c>
      <c r="C96" s="218">
        <v>1.1220000000000001</v>
      </c>
      <c r="D96" s="244">
        <v>0.65700000000000003</v>
      </c>
      <c r="E96" s="74">
        <f t="shared" si="4"/>
        <v>-0.37611408199643503</v>
      </c>
      <c r="F96" s="72">
        <f t="shared" si="5"/>
        <v>6.5449010654490047E-2</v>
      </c>
      <c r="G96" s="218">
        <f>B96+Sep!G96</f>
        <v>8.4</v>
      </c>
      <c r="H96" s="218">
        <f>C96+Sep!H96</f>
        <v>11.016999999999999</v>
      </c>
      <c r="I96" s="256">
        <v>8.0920000000000005</v>
      </c>
      <c r="J96" s="74">
        <f t="shared" si="6"/>
        <v>-0.23754198057547415</v>
      </c>
      <c r="K96" s="55">
        <f t="shared" si="7"/>
        <v>3.8062283737024138E-2</v>
      </c>
    </row>
  </sheetData>
  <mergeCells count="4">
    <mergeCell ref="B3:D3"/>
    <mergeCell ref="E3:F3"/>
    <mergeCell ref="G3:I3"/>
    <mergeCell ref="J3:K3"/>
  </mergeCells>
  <conditionalFormatting sqref="E5:F96">
    <cfRule type="cellIs" dxfId="23" priority="5" operator="lessThan">
      <formula>0</formula>
    </cfRule>
    <cfRule type="cellIs" dxfId="22" priority="6" operator="greaterThan">
      <formula>0</formula>
    </cfRule>
    <cfRule type="cellIs" dxfId="21" priority="7" operator="greaterThan">
      <formula>0</formula>
    </cfRule>
    <cfRule type="cellIs" dxfId="20" priority="8" operator="lessThan">
      <formula>0</formula>
    </cfRule>
  </conditionalFormatting>
  <conditionalFormatting sqref="J5:K96">
    <cfRule type="cellIs" dxfId="19" priority="1" operator="lessThan">
      <formula>0</formula>
    </cfRule>
    <cfRule type="cellIs" dxfId="18" priority="2" operator="greaterThan">
      <formula>0</formula>
    </cfRule>
    <cfRule type="cellIs" dxfId="17" priority="3" operator="greaterThan">
      <formula>0</formula>
    </cfRule>
    <cfRule type="cellIs" dxfId="16" priority="4" operator="lessThan">
      <formula>0</formula>
    </cfRule>
  </conditionalFormatting>
  <pageMargins left="0.7" right="0.7" top="0.75" bottom="0.75" header="0.3" footer="0.3"/>
  <pageSetup paperSize="9" scale="87" orientation="portrait" r:id="rId1"/>
  <rowBreaks count="1" manualBreakCount="1">
    <brk id="5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96"/>
  <sheetViews>
    <sheetView tabSelected="1" zoomScaleNormal="100" workbookViewId="0">
      <selection activeCell="H18" sqref="H18"/>
    </sheetView>
  </sheetViews>
  <sheetFormatPr defaultColWidth="9" defaultRowHeight="12.75"/>
  <cols>
    <col min="1" max="1" width="26.28515625" style="56" customWidth="1"/>
    <col min="2" max="2" width="9.85546875" style="193" bestFit="1" customWidth="1"/>
    <col min="3" max="3" width="8.5703125" style="56" bestFit="1" customWidth="1"/>
    <col min="4" max="4" width="6.5703125" style="56" bestFit="1" customWidth="1"/>
    <col min="5" max="6" width="7.85546875" style="56" bestFit="1" customWidth="1"/>
    <col min="7" max="7" width="11.28515625" style="56" bestFit="1" customWidth="1"/>
    <col min="8" max="8" width="9" style="56" bestFit="1" customWidth="1"/>
    <col min="9" max="9" width="9.140625" style="56" bestFit="1" customWidth="1"/>
    <col min="10" max="11" width="7.85546875" style="56" bestFit="1" customWidth="1"/>
    <col min="12" max="16384" width="9" style="56"/>
  </cols>
  <sheetData>
    <row r="1" spans="1:11">
      <c r="A1" s="8" t="s">
        <v>129</v>
      </c>
      <c r="B1" s="190"/>
      <c r="C1" s="62"/>
      <c r="D1" s="62"/>
      <c r="E1" s="62"/>
      <c r="F1" s="62"/>
      <c r="G1" s="62"/>
      <c r="H1" s="62"/>
      <c r="I1" s="62"/>
      <c r="J1" s="1"/>
    </row>
    <row r="2" spans="1:11" ht="13.5" thickBot="1">
      <c r="A2" s="1" t="s">
        <v>237</v>
      </c>
      <c r="B2" s="191"/>
      <c r="C2" s="57"/>
      <c r="D2" s="57"/>
      <c r="G2" s="57"/>
      <c r="H2" s="57"/>
      <c r="I2" s="57"/>
    </row>
    <row r="3" spans="1:11" ht="13.5" thickBot="1">
      <c r="A3" s="10"/>
      <c r="B3" s="341" t="s">
        <v>106</v>
      </c>
      <c r="C3" s="342"/>
      <c r="D3" s="343"/>
      <c r="E3" s="341" t="s">
        <v>0</v>
      </c>
      <c r="F3" s="343"/>
      <c r="G3" s="341" t="s">
        <v>107</v>
      </c>
      <c r="H3" s="342"/>
      <c r="I3" s="343"/>
      <c r="J3" s="341" t="s">
        <v>0</v>
      </c>
      <c r="K3" s="343"/>
    </row>
    <row r="4" spans="1:11" ht="13.5" thickBot="1">
      <c r="A4" s="5"/>
      <c r="B4" s="192">
        <v>2017</v>
      </c>
      <c r="C4" s="83">
        <v>2016</v>
      </c>
      <c r="D4" s="141">
        <v>2015</v>
      </c>
      <c r="E4" s="21" t="s">
        <v>214</v>
      </c>
      <c r="F4" s="21" t="s">
        <v>215</v>
      </c>
      <c r="G4" s="21">
        <v>2017</v>
      </c>
      <c r="H4" s="21">
        <v>2016</v>
      </c>
      <c r="I4" s="142">
        <v>2015</v>
      </c>
      <c r="J4" s="21" t="s">
        <v>214</v>
      </c>
      <c r="K4" s="21" t="s">
        <v>215</v>
      </c>
    </row>
    <row r="5" spans="1:11">
      <c r="A5" s="7" t="s">
        <v>1</v>
      </c>
      <c r="B5" s="310">
        <f>B6+B27+B35+B79+B91+B96</f>
        <v>355.90000000000003</v>
      </c>
      <c r="C5" s="258">
        <v>287.81400000000002</v>
      </c>
      <c r="D5" s="259">
        <v>209.12299999999999</v>
      </c>
      <c r="E5" s="76">
        <f>B5/C5-1</f>
        <v>0.2365625021715414</v>
      </c>
      <c r="F5" s="18">
        <f>B5/D5-1</f>
        <v>0.70186923485221642</v>
      </c>
      <c r="G5" s="253">
        <f>B5+Oct!G5</f>
        <v>3321.9000000000005</v>
      </c>
      <c r="H5" s="253">
        <f>C5+Oct!H5</f>
        <v>2652.5169999999998</v>
      </c>
      <c r="I5" s="257">
        <v>2602.2710000000002</v>
      </c>
      <c r="J5" s="17">
        <f>G5/H5-1</f>
        <v>0.25235766632221424</v>
      </c>
      <c r="K5" s="18">
        <f>G5/I5-1</f>
        <v>0.2765388385759977</v>
      </c>
    </row>
    <row r="6" spans="1:11">
      <c r="A6" s="7" t="s">
        <v>2</v>
      </c>
      <c r="B6" s="217">
        <f>B8+B21+B58+B59+B60+B62</f>
        <v>48.699999999999996</v>
      </c>
      <c r="C6" s="260">
        <v>37.04</v>
      </c>
      <c r="D6" s="261">
        <v>21.649000000000001</v>
      </c>
      <c r="E6" s="73">
        <f t="shared" ref="E6:E69" si="0">B6/C6-1</f>
        <v>0.31479481641468676</v>
      </c>
      <c r="F6" s="59">
        <f t="shared" ref="F6:F69" si="1">B6/D6-1</f>
        <v>1.2495265370224948</v>
      </c>
      <c r="G6" s="253">
        <f>B6+Oct!G6</f>
        <v>399.4</v>
      </c>
      <c r="H6" s="253">
        <f>C6+Oct!H6</f>
        <v>276.59399999999999</v>
      </c>
      <c r="I6" s="257">
        <v>226.875</v>
      </c>
      <c r="J6" s="58">
        <f t="shared" ref="J6:J69" si="2">G6/H6-1</f>
        <v>0.44399372365271828</v>
      </c>
      <c r="K6" s="59">
        <f t="shared" ref="K6:K69" si="3">G6/I6-1</f>
        <v>0.76044077134986221</v>
      </c>
    </row>
    <row r="7" spans="1:11">
      <c r="A7" s="7"/>
      <c r="B7" s="217"/>
      <c r="C7" s="260">
        <v>0</v>
      </c>
      <c r="D7" s="261">
        <v>0</v>
      </c>
      <c r="E7" s="73"/>
      <c r="F7" s="59"/>
      <c r="G7" s="253"/>
      <c r="H7" s="253"/>
      <c r="I7" s="257">
        <v>0</v>
      </c>
      <c r="J7" s="58"/>
      <c r="K7" s="59"/>
    </row>
    <row r="8" spans="1:11">
      <c r="A8" s="7" t="s">
        <v>3</v>
      </c>
      <c r="B8" s="217">
        <f>SUM(B9:B19)</f>
        <v>38.099999999999994</v>
      </c>
      <c r="C8" s="260">
        <v>30.803999999999998</v>
      </c>
      <c r="D8" s="261">
        <v>17.234999999999999</v>
      </c>
      <c r="E8" s="73">
        <f t="shared" si="0"/>
        <v>0.23685235683677441</v>
      </c>
      <c r="F8" s="59">
        <f t="shared" si="1"/>
        <v>1.2106179286335941</v>
      </c>
      <c r="G8" s="253">
        <f>B8+Oct!G8</f>
        <v>301.70000000000005</v>
      </c>
      <c r="H8" s="253">
        <f>C8+Oct!H8</f>
        <v>210.33600000000004</v>
      </c>
      <c r="I8" s="257">
        <v>164.13300000000001</v>
      </c>
      <c r="J8" s="58">
        <f t="shared" si="2"/>
        <v>0.4343716719914803</v>
      </c>
      <c r="K8" s="59">
        <f t="shared" si="3"/>
        <v>0.8381434568307411</v>
      </c>
    </row>
    <row r="9" spans="1:11">
      <c r="A9" s="7" t="s">
        <v>4</v>
      </c>
      <c r="B9" s="217">
        <v>6</v>
      </c>
      <c r="C9" s="260">
        <v>5.577</v>
      </c>
      <c r="D9" s="261">
        <v>3.7879999999999998</v>
      </c>
      <c r="E9" s="73">
        <f t="shared" si="0"/>
        <v>7.5847229693383644E-2</v>
      </c>
      <c r="F9" s="59">
        <f t="shared" si="1"/>
        <v>0.58394931362196423</v>
      </c>
      <c r="G9" s="253">
        <f>B9+Oct!G9</f>
        <v>54.4</v>
      </c>
      <c r="H9" s="253">
        <f>C9+Oct!H9</f>
        <v>42.058999999999997</v>
      </c>
      <c r="I9" s="257">
        <v>37.225000000000001</v>
      </c>
      <c r="J9" s="58">
        <f t="shared" si="2"/>
        <v>0.29342114648470008</v>
      </c>
      <c r="K9" s="59">
        <f t="shared" si="3"/>
        <v>0.4613834788448623</v>
      </c>
    </row>
    <row r="10" spans="1:11">
      <c r="A10" s="7" t="s">
        <v>5</v>
      </c>
      <c r="B10" s="217">
        <v>2.4</v>
      </c>
      <c r="C10" s="260">
        <v>2.0299999999999998</v>
      </c>
      <c r="D10" s="261">
        <v>0.95399999999999996</v>
      </c>
      <c r="E10" s="73">
        <f t="shared" si="0"/>
        <v>0.18226600985221686</v>
      </c>
      <c r="F10" s="59">
        <f t="shared" si="1"/>
        <v>1.5157232704402515</v>
      </c>
      <c r="G10" s="253">
        <f>B10+Oct!G10</f>
        <v>7.6999999999999993</v>
      </c>
      <c r="H10" s="253">
        <f>C10+Oct!H10</f>
        <v>5.8620000000000001</v>
      </c>
      <c r="I10" s="257">
        <v>4.0919999999999996</v>
      </c>
      <c r="J10" s="58">
        <f t="shared" si="2"/>
        <v>0.3135448652337085</v>
      </c>
      <c r="K10" s="59">
        <f t="shared" si="3"/>
        <v>0.88172043010752676</v>
      </c>
    </row>
    <row r="11" spans="1:11">
      <c r="A11" s="7" t="s">
        <v>6</v>
      </c>
      <c r="B11" s="217">
        <v>4.3</v>
      </c>
      <c r="C11" s="260">
        <v>2.8620000000000001</v>
      </c>
      <c r="D11" s="261">
        <v>1.9570000000000001</v>
      </c>
      <c r="E11" s="73">
        <f t="shared" si="0"/>
        <v>0.50244584206848342</v>
      </c>
      <c r="F11" s="59">
        <f t="shared" si="1"/>
        <v>1.1972406745017881</v>
      </c>
      <c r="G11" s="253">
        <f>B11+Oct!G11</f>
        <v>32.1</v>
      </c>
      <c r="H11" s="253">
        <f>C11+Oct!H11</f>
        <v>19.356000000000002</v>
      </c>
      <c r="I11" s="257">
        <v>19.311</v>
      </c>
      <c r="J11" s="58">
        <f t="shared" si="2"/>
        <v>0.65840049597024164</v>
      </c>
      <c r="K11" s="59">
        <f t="shared" si="3"/>
        <v>0.66226503029361505</v>
      </c>
    </row>
    <row r="12" spans="1:11">
      <c r="A12" s="7" t="s">
        <v>86</v>
      </c>
      <c r="B12" s="217">
        <v>0.7</v>
      </c>
      <c r="C12" s="260">
        <v>0.67500000000000004</v>
      </c>
      <c r="D12" s="261">
        <v>0.24299999999999999</v>
      </c>
      <c r="E12" s="73">
        <f t="shared" si="0"/>
        <v>3.7037037037036979E-2</v>
      </c>
      <c r="F12" s="59">
        <f t="shared" si="1"/>
        <v>1.8806584362139915</v>
      </c>
      <c r="G12" s="253">
        <f>B12+Oct!G12</f>
        <v>7.8</v>
      </c>
      <c r="H12" s="253">
        <f>C12+Oct!H12</f>
        <v>4.6229999999999993</v>
      </c>
      <c r="I12" s="257">
        <v>3.9249999999999998</v>
      </c>
      <c r="J12" s="58">
        <f t="shared" si="2"/>
        <v>0.68721609344581469</v>
      </c>
      <c r="K12" s="59">
        <f t="shared" si="3"/>
        <v>0.98726114649681529</v>
      </c>
    </row>
    <row r="13" spans="1:11">
      <c r="A13" s="7" t="s">
        <v>8</v>
      </c>
      <c r="B13" s="217">
        <f>12.1-0.7</f>
        <v>11.4</v>
      </c>
      <c r="C13" s="260">
        <v>10.789</v>
      </c>
      <c r="D13" s="261">
        <v>5.157</v>
      </c>
      <c r="E13" s="73">
        <f t="shared" si="0"/>
        <v>5.6631754564834713E-2</v>
      </c>
      <c r="F13" s="59">
        <f t="shared" si="1"/>
        <v>1.2105875509016872</v>
      </c>
      <c r="G13" s="253">
        <f>B13+Oct!G13</f>
        <v>105.10000000000001</v>
      </c>
      <c r="H13" s="253">
        <f>C13+Oct!H13</f>
        <v>71.801999999999992</v>
      </c>
      <c r="I13" s="257">
        <v>43.887</v>
      </c>
      <c r="J13" s="58">
        <f t="shared" si="2"/>
        <v>0.46374752792401353</v>
      </c>
      <c r="K13" s="59">
        <f t="shared" si="3"/>
        <v>1.3947866110693372</v>
      </c>
    </row>
    <row r="14" spans="1:11">
      <c r="A14" s="7" t="s">
        <v>9</v>
      </c>
      <c r="B14" s="217">
        <v>1.8</v>
      </c>
      <c r="C14" s="260">
        <v>1.2949999999999999</v>
      </c>
      <c r="D14" s="261">
        <v>0.71599999999999997</v>
      </c>
      <c r="E14" s="73">
        <f t="shared" si="0"/>
        <v>0.38996138996139007</v>
      </c>
      <c r="F14" s="59">
        <f t="shared" si="1"/>
        <v>1.5139664804469275</v>
      </c>
      <c r="G14" s="253">
        <f>B14+Oct!G14</f>
        <v>15.4</v>
      </c>
      <c r="H14" s="253">
        <f>C14+Oct!H14</f>
        <v>10.698</v>
      </c>
      <c r="I14" s="257">
        <v>9.1549999999999994</v>
      </c>
      <c r="J14" s="58">
        <f t="shared" si="2"/>
        <v>0.43952140587025612</v>
      </c>
      <c r="K14" s="59">
        <f t="shared" si="3"/>
        <v>0.68214090660841076</v>
      </c>
    </row>
    <row r="15" spans="1:11">
      <c r="A15" s="7" t="s">
        <v>10</v>
      </c>
      <c r="B15" s="217">
        <v>0.9</v>
      </c>
      <c r="C15" s="260">
        <v>0.91400000000000003</v>
      </c>
      <c r="D15" s="261">
        <v>0.26500000000000001</v>
      </c>
      <c r="E15" s="73">
        <f t="shared" si="0"/>
        <v>-1.5317286652078765E-2</v>
      </c>
      <c r="F15" s="59">
        <f t="shared" si="1"/>
        <v>2.3962264150943398</v>
      </c>
      <c r="G15" s="253">
        <f>B15+Oct!G15</f>
        <v>8.9000000000000021</v>
      </c>
      <c r="H15" s="253">
        <f>C15+Oct!H15</f>
        <v>5.9799999999999986</v>
      </c>
      <c r="I15" s="257">
        <v>5.3390000000000004</v>
      </c>
      <c r="J15" s="58">
        <f t="shared" si="2"/>
        <v>0.48829431438127169</v>
      </c>
      <c r="K15" s="59">
        <f t="shared" si="3"/>
        <v>0.66697883498782562</v>
      </c>
    </row>
    <row r="16" spans="1:11">
      <c r="A16" s="7" t="s">
        <v>11</v>
      </c>
      <c r="B16" s="217">
        <v>3.8</v>
      </c>
      <c r="C16" s="260">
        <v>2.1059999999999999</v>
      </c>
      <c r="D16" s="261">
        <v>1.2390000000000001</v>
      </c>
      <c r="E16" s="73">
        <f t="shared" si="0"/>
        <v>0.80436847103513776</v>
      </c>
      <c r="F16" s="59">
        <f t="shared" si="1"/>
        <v>2.0669895076674734</v>
      </c>
      <c r="G16" s="253">
        <f>B16+Oct!G16</f>
        <v>37.799999999999997</v>
      </c>
      <c r="H16" s="253">
        <f>C16+Oct!H16</f>
        <v>26.549999999999997</v>
      </c>
      <c r="I16" s="257">
        <v>21.266999999999999</v>
      </c>
      <c r="J16" s="58">
        <f t="shared" si="2"/>
        <v>0.42372881355932202</v>
      </c>
      <c r="K16" s="59">
        <f t="shared" si="3"/>
        <v>0.77740160812526438</v>
      </c>
    </row>
    <row r="17" spans="1:11">
      <c r="A17" s="7" t="s">
        <v>12</v>
      </c>
      <c r="B17" s="217">
        <v>2.2999999999999998</v>
      </c>
      <c r="C17" s="260">
        <v>1.8740000000000001</v>
      </c>
      <c r="D17" s="261">
        <v>1.357</v>
      </c>
      <c r="E17" s="73">
        <f t="shared" si="0"/>
        <v>0.22732123799359649</v>
      </c>
      <c r="F17" s="59">
        <f t="shared" si="1"/>
        <v>0.69491525423728806</v>
      </c>
      <c r="G17" s="253">
        <f>B17+Oct!G17</f>
        <v>9.5999999999999979</v>
      </c>
      <c r="H17" s="253">
        <f>C17+Oct!H17</f>
        <v>8.2769999999999992</v>
      </c>
      <c r="I17" s="257">
        <v>7.3049999999999997</v>
      </c>
      <c r="J17" s="58">
        <f t="shared" si="2"/>
        <v>0.15984052192823461</v>
      </c>
      <c r="K17" s="59">
        <f t="shared" si="3"/>
        <v>0.31416837782340834</v>
      </c>
    </row>
    <row r="18" spans="1:11">
      <c r="A18" s="7" t="s">
        <v>13</v>
      </c>
      <c r="B18" s="217">
        <v>0.2</v>
      </c>
      <c r="C18" s="260">
        <v>0.255</v>
      </c>
      <c r="D18" s="261">
        <v>0.17899999999999999</v>
      </c>
      <c r="E18" s="73">
        <f t="shared" si="0"/>
        <v>-0.21568627450980393</v>
      </c>
      <c r="F18" s="59">
        <f t="shared" si="1"/>
        <v>0.1173184357541901</v>
      </c>
      <c r="G18" s="253">
        <f>B18+Oct!G18</f>
        <v>2.6</v>
      </c>
      <c r="H18" s="253">
        <f>C18+Oct!H18</f>
        <v>2.0590000000000002</v>
      </c>
      <c r="I18" s="257">
        <v>2.1669999999999998</v>
      </c>
      <c r="J18" s="58">
        <f t="shared" si="2"/>
        <v>0.26274890723652256</v>
      </c>
      <c r="K18" s="59">
        <f t="shared" si="3"/>
        <v>0.19981541301338268</v>
      </c>
    </row>
    <row r="19" spans="1:11">
      <c r="A19" s="7" t="s">
        <v>14</v>
      </c>
      <c r="B19" s="217">
        <v>4.3</v>
      </c>
      <c r="C19" s="260">
        <v>2.427</v>
      </c>
      <c r="D19" s="261">
        <v>1.38</v>
      </c>
      <c r="E19" s="73">
        <f t="shared" si="0"/>
        <v>0.77173465183353929</v>
      </c>
      <c r="F19" s="59">
        <f t="shared" si="1"/>
        <v>2.1159420289855073</v>
      </c>
      <c r="G19" s="253">
        <f>B19+Oct!G19</f>
        <v>20.3</v>
      </c>
      <c r="H19" s="253">
        <f>C19+Oct!H19</f>
        <v>13.069999999999999</v>
      </c>
      <c r="I19" s="257">
        <v>10.46</v>
      </c>
      <c r="J19" s="58">
        <f t="shared" si="2"/>
        <v>0.55317521040550899</v>
      </c>
      <c r="K19" s="59">
        <f t="shared" si="3"/>
        <v>0.94072657743785837</v>
      </c>
    </row>
    <row r="20" spans="1:11">
      <c r="A20" s="7"/>
      <c r="B20" s="217"/>
      <c r="C20" s="260">
        <v>0</v>
      </c>
      <c r="D20" s="261">
        <v>0</v>
      </c>
      <c r="E20" s="73"/>
      <c r="F20" s="59"/>
      <c r="G20" s="253"/>
      <c r="H20" s="253"/>
      <c r="I20" s="257">
        <v>0</v>
      </c>
      <c r="J20" s="58"/>
      <c r="K20" s="59"/>
    </row>
    <row r="21" spans="1:11">
      <c r="A21" s="7" t="s">
        <v>15</v>
      </c>
      <c r="B21" s="217">
        <f>SUM(B22:B25)</f>
        <v>7.5999999999999988</v>
      </c>
      <c r="C21" s="260">
        <v>6.2359999999999998</v>
      </c>
      <c r="D21" s="261">
        <v>4.4139999999999997</v>
      </c>
      <c r="E21" s="73">
        <f t="shared" si="0"/>
        <v>0.21872995509942261</v>
      </c>
      <c r="F21" s="59">
        <f t="shared" si="1"/>
        <v>0.72179429089261427</v>
      </c>
      <c r="G21" s="253">
        <f>B21+Oct!G21</f>
        <v>70.8</v>
      </c>
      <c r="H21" s="253">
        <f>C21+Oct!H21</f>
        <v>66.257999999999996</v>
      </c>
      <c r="I21" s="257">
        <v>62.741999999999997</v>
      </c>
      <c r="J21" s="58">
        <f t="shared" si="2"/>
        <v>6.8550212804491473E-2</v>
      </c>
      <c r="K21" s="59">
        <f t="shared" si="3"/>
        <v>0.12843071626661562</v>
      </c>
    </row>
    <row r="22" spans="1:11">
      <c r="A22" s="7" t="s">
        <v>16</v>
      </c>
      <c r="B22" s="217">
        <v>1.1000000000000001</v>
      </c>
      <c r="C22" s="260">
        <v>0.60599999999999998</v>
      </c>
      <c r="D22" s="261">
        <v>0.45900000000000002</v>
      </c>
      <c r="E22" s="73">
        <f t="shared" si="0"/>
        <v>0.81518151815181539</v>
      </c>
      <c r="F22" s="59">
        <f t="shared" si="1"/>
        <v>1.3965141612200438</v>
      </c>
      <c r="G22" s="253">
        <f>B22+Oct!G22</f>
        <v>7.7000000000000011</v>
      </c>
      <c r="H22" s="253">
        <f>C22+Oct!H22</f>
        <v>5.169999999999999</v>
      </c>
      <c r="I22" s="257">
        <v>5.0519999999999996</v>
      </c>
      <c r="J22" s="58">
        <f t="shared" si="2"/>
        <v>0.48936170212765995</v>
      </c>
      <c r="K22" s="59">
        <f t="shared" si="3"/>
        <v>0.52414885193982608</v>
      </c>
    </row>
    <row r="23" spans="1:11">
      <c r="A23" s="7" t="s">
        <v>17</v>
      </c>
      <c r="B23" s="217">
        <v>5.0999999999999996</v>
      </c>
      <c r="C23" s="260">
        <v>3.577</v>
      </c>
      <c r="D23" s="261">
        <v>1.88</v>
      </c>
      <c r="E23" s="73">
        <f t="shared" si="0"/>
        <v>0.42577578976796193</v>
      </c>
      <c r="F23" s="59">
        <f t="shared" si="1"/>
        <v>1.7127659574468086</v>
      </c>
      <c r="G23" s="253">
        <f>B23+Oct!G23</f>
        <v>36.799999999999997</v>
      </c>
      <c r="H23" s="253">
        <f>C23+Oct!H23</f>
        <v>30.990000000000002</v>
      </c>
      <c r="I23" s="257">
        <v>24.106000000000002</v>
      </c>
      <c r="J23" s="58">
        <f t="shared" si="2"/>
        <v>0.1874798322039366</v>
      </c>
      <c r="K23" s="59">
        <f t="shared" si="3"/>
        <v>0.52659089023479599</v>
      </c>
    </row>
    <row r="24" spans="1:11">
      <c r="A24" s="7" t="s">
        <v>18</v>
      </c>
      <c r="B24" s="217">
        <v>0.6</v>
      </c>
      <c r="C24" s="260">
        <v>1.1890000000000001</v>
      </c>
      <c r="D24" s="261">
        <v>1.2010000000000001</v>
      </c>
      <c r="E24" s="73">
        <f t="shared" si="0"/>
        <v>-0.49537426408746854</v>
      </c>
      <c r="F24" s="59">
        <f t="shared" si="1"/>
        <v>-0.50041631973355538</v>
      </c>
      <c r="G24" s="253">
        <f>B24+Oct!G24</f>
        <v>14.1</v>
      </c>
      <c r="H24" s="253">
        <f>C24+Oct!H24</f>
        <v>17.727999999999998</v>
      </c>
      <c r="I24" s="257">
        <v>20.553000000000001</v>
      </c>
      <c r="J24" s="58">
        <f t="shared" si="2"/>
        <v>-0.20464801444043312</v>
      </c>
      <c r="K24" s="59">
        <f t="shared" si="3"/>
        <v>-0.31396876368413373</v>
      </c>
    </row>
    <row r="25" spans="1:11">
      <c r="A25" s="7" t="s">
        <v>19</v>
      </c>
      <c r="B25" s="217">
        <v>0.8</v>
      </c>
      <c r="C25" s="260">
        <v>0.86399999999999999</v>
      </c>
      <c r="D25" s="261">
        <v>0.874</v>
      </c>
      <c r="E25" s="73">
        <f t="shared" si="0"/>
        <v>-7.4074074074073959E-2</v>
      </c>
      <c r="F25" s="59">
        <f t="shared" si="1"/>
        <v>-8.4668192219679583E-2</v>
      </c>
      <c r="G25" s="253">
        <f>B25+Oct!G25</f>
        <v>12.200000000000003</v>
      </c>
      <c r="H25" s="253">
        <f>C25+Oct!H25</f>
        <v>12.370000000000001</v>
      </c>
      <c r="I25" s="257">
        <v>13.031000000000001</v>
      </c>
      <c r="J25" s="58">
        <f t="shared" si="2"/>
        <v>-1.3742926434923031E-2</v>
      </c>
      <c r="K25" s="59">
        <f t="shared" si="3"/>
        <v>-6.3771007597267837E-2</v>
      </c>
    </row>
    <row r="26" spans="1:11">
      <c r="A26" s="7"/>
      <c r="B26" s="217"/>
      <c r="C26" s="260">
        <v>0</v>
      </c>
      <c r="D26" s="261">
        <v>0</v>
      </c>
      <c r="E26" s="73"/>
      <c r="F26" s="59"/>
      <c r="G26" s="253"/>
      <c r="H26" s="253"/>
      <c r="I26" s="257">
        <v>0</v>
      </c>
      <c r="J26" s="58"/>
      <c r="K26" s="59"/>
    </row>
    <row r="27" spans="1:11">
      <c r="A27" s="7" t="s">
        <v>20</v>
      </c>
      <c r="B27" s="217">
        <f>SUM(B28:B33)</f>
        <v>6.4</v>
      </c>
      <c r="C27" s="260">
        <v>6.1079999999999997</v>
      </c>
      <c r="D27" s="261">
        <v>7.4080000000000004</v>
      </c>
      <c r="E27" s="73">
        <f t="shared" si="0"/>
        <v>4.7806155861165767E-2</v>
      </c>
      <c r="F27" s="59">
        <f t="shared" si="1"/>
        <v>-0.13606911447084236</v>
      </c>
      <c r="G27" s="253">
        <f>B27+Oct!G27</f>
        <v>62.399999999999991</v>
      </c>
      <c r="H27" s="253">
        <f>C27+Oct!H27</f>
        <v>54.588000000000001</v>
      </c>
      <c r="I27" s="257">
        <v>61.113999999999997</v>
      </c>
      <c r="J27" s="58">
        <f t="shared" si="2"/>
        <v>0.1431083754671354</v>
      </c>
      <c r="K27" s="59">
        <f t="shared" si="3"/>
        <v>2.1042641620577784E-2</v>
      </c>
    </row>
    <row r="28" spans="1:11">
      <c r="A28" s="7" t="s">
        <v>21</v>
      </c>
      <c r="B28" s="217">
        <v>1.4</v>
      </c>
      <c r="C28" s="260">
        <v>1.504</v>
      </c>
      <c r="D28" s="261">
        <v>0.98699999999999999</v>
      </c>
      <c r="E28" s="73">
        <f t="shared" si="0"/>
        <v>-6.9148936170212782E-2</v>
      </c>
      <c r="F28" s="59">
        <f t="shared" si="1"/>
        <v>0.41843971631205656</v>
      </c>
      <c r="G28" s="253">
        <f>B28+Oct!G28</f>
        <v>22.7</v>
      </c>
      <c r="H28" s="253">
        <f>C28+Oct!H28</f>
        <v>17.719000000000005</v>
      </c>
      <c r="I28" s="257">
        <v>17.535</v>
      </c>
      <c r="J28" s="58">
        <f t="shared" si="2"/>
        <v>0.28111067215982799</v>
      </c>
      <c r="K28" s="59">
        <f t="shared" si="3"/>
        <v>0.29455374964356995</v>
      </c>
    </row>
    <row r="29" spans="1:11">
      <c r="A29" s="7" t="s">
        <v>22</v>
      </c>
      <c r="B29" s="217">
        <v>0.2</v>
      </c>
      <c r="C29" s="260">
        <v>0.13300000000000001</v>
      </c>
      <c r="D29" s="261">
        <v>0.13700000000000001</v>
      </c>
      <c r="E29" s="73">
        <f t="shared" si="0"/>
        <v>0.50375939849624052</v>
      </c>
      <c r="F29" s="59">
        <f t="shared" si="1"/>
        <v>0.45985401459854014</v>
      </c>
      <c r="G29" s="253">
        <f>B29+Oct!G29</f>
        <v>6.8</v>
      </c>
      <c r="H29" s="253">
        <f>C29+Oct!H29</f>
        <v>8.6039999999999992</v>
      </c>
      <c r="I29" s="257">
        <v>5.9909999999999997</v>
      </c>
      <c r="J29" s="58">
        <f t="shared" si="2"/>
        <v>-0.209669920966992</v>
      </c>
      <c r="K29" s="59">
        <f t="shared" si="3"/>
        <v>0.13503588716407955</v>
      </c>
    </row>
    <row r="30" spans="1:11">
      <c r="A30" s="7" t="s">
        <v>23</v>
      </c>
      <c r="B30" s="217">
        <v>0.2</v>
      </c>
      <c r="C30" s="260">
        <v>0.23799999999999999</v>
      </c>
      <c r="D30" s="261">
        <v>0.16700000000000001</v>
      </c>
      <c r="E30" s="73">
        <f t="shared" si="0"/>
        <v>-0.15966386554621836</v>
      </c>
      <c r="F30" s="59">
        <f t="shared" si="1"/>
        <v>0.19760479041916157</v>
      </c>
      <c r="G30" s="253">
        <f>B30+Oct!G30</f>
        <v>2.8000000000000007</v>
      </c>
      <c r="H30" s="253">
        <f>C30+Oct!H30</f>
        <v>2.6629999999999998</v>
      </c>
      <c r="I30" s="257">
        <v>2.9609999999999999</v>
      </c>
      <c r="J30" s="58">
        <f t="shared" si="2"/>
        <v>5.1445737889598497E-2</v>
      </c>
      <c r="K30" s="59">
        <f t="shared" si="3"/>
        <v>-5.4373522458628587E-2</v>
      </c>
    </row>
    <row r="31" spans="1:11">
      <c r="A31" s="6" t="s">
        <v>24</v>
      </c>
      <c r="B31" s="217">
        <v>1.5</v>
      </c>
      <c r="C31" s="260">
        <v>1.4830000000000001</v>
      </c>
      <c r="D31" s="261">
        <v>4.3499999999999996</v>
      </c>
      <c r="E31" s="73">
        <f t="shared" si="0"/>
        <v>1.1463250168577188E-2</v>
      </c>
      <c r="F31" s="59">
        <f t="shared" si="1"/>
        <v>-0.65517241379310343</v>
      </c>
      <c r="G31" s="253">
        <f>B31+Oct!G31</f>
        <v>5.6999999999999993</v>
      </c>
      <c r="H31" s="253">
        <f>C31+Oct!H31</f>
        <v>5.423</v>
      </c>
      <c r="I31" s="257">
        <v>13.813000000000001</v>
      </c>
      <c r="J31" s="58">
        <f t="shared" si="2"/>
        <v>5.1078738705513382E-2</v>
      </c>
      <c r="K31" s="59">
        <f t="shared" si="3"/>
        <v>-0.58734525447042651</v>
      </c>
    </row>
    <row r="32" spans="1:11">
      <c r="A32" s="6" t="s">
        <v>25</v>
      </c>
      <c r="B32" s="217">
        <v>0.9</v>
      </c>
      <c r="C32" s="260">
        <v>0.95199999999999996</v>
      </c>
      <c r="D32" s="261">
        <v>0.57799999999999996</v>
      </c>
      <c r="E32" s="73">
        <f t="shared" si="0"/>
        <v>-5.4621848739495715E-2</v>
      </c>
      <c r="F32" s="59">
        <f t="shared" si="1"/>
        <v>0.55709342560553643</v>
      </c>
      <c r="G32" s="253">
        <f>B32+Oct!G32</f>
        <v>3.4000000000000004</v>
      </c>
      <c r="H32" s="253">
        <f>C32+Oct!H32</f>
        <v>3.7320000000000002</v>
      </c>
      <c r="I32" s="257">
        <v>3.2349999999999999</v>
      </c>
      <c r="J32" s="58">
        <f t="shared" si="2"/>
        <v>-8.8960342979635509E-2</v>
      </c>
      <c r="K32" s="59">
        <f t="shared" si="3"/>
        <v>5.1004636785162427E-2</v>
      </c>
    </row>
    <row r="33" spans="1:11">
      <c r="A33" s="7" t="s">
        <v>19</v>
      </c>
      <c r="B33" s="217">
        <v>2.2000000000000002</v>
      </c>
      <c r="C33" s="260">
        <v>1.798</v>
      </c>
      <c r="D33" s="261">
        <v>1.1890000000000001</v>
      </c>
      <c r="E33" s="73">
        <f t="shared" si="0"/>
        <v>0.22358175750834275</v>
      </c>
      <c r="F33" s="59">
        <f t="shared" si="1"/>
        <v>0.85029436501261579</v>
      </c>
      <c r="G33" s="253">
        <f>B33+Oct!G33</f>
        <v>20.9</v>
      </c>
      <c r="H33" s="253">
        <f>C33+Oct!H33</f>
        <v>16.447000000000003</v>
      </c>
      <c r="I33" s="257">
        <v>17.579000000000001</v>
      </c>
      <c r="J33" s="58">
        <f t="shared" si="2"/>
        <v>0.27074846476561043</v>
      </c>
      <c r="K33" s="59">
        <f t="shared" si="3"/>
        <v>0.18891859605210759</v>
      </c>
    </row>
    <row r="34" spans="1:11">
      <c r="A34" s="2"/>
      <c r="B34" s="217"/>
      <c r="C34" s="260">
        <v>0</v>
      </c>
      <c r="D34" s="261">
        <v>0</v>
      </c>
      <c r="E34" s="73"/>
      <c r="F34" s="59"/>
      <c r="G34" s="253"/>
      <c r="H34" s="253"/>
      <c r="I34" s="257">
        <v>0</v>
      </c>
      <c r="J34" s="58"/>
      <c r="K34" s="59"/>
    </row>
    <row r="35" spans="1:11">
      <c r="A35" s="7" t="s">
        <v>26</v>
      </c>
      <c r="B35" s="217">
        <f>B36+SUM(B41:B51)+SUM(B54:B57)+SUM(B63:B77)</f>
        <v>207.89999999999998</v>
      </c>
      <c r="C35" s="260">
        <v>165.67500000000001</v>
      </c>
      <c r="D35" s="261">
        <v>118.374</v>
      </c>
      <c r="E35" s="73">
        <f t="shared" si="0"/>
        <v>0.25486645540968733</v>
      </c>
      <c r="F35" s="59">
        <f t="shared" si="1"/>
        <v>0.75629783567337405</v>
      </c>
      <c r="G35" s="253">
        <f>B35+Oct!G35</f>
        <v>1862.8000000000002</v>
      </c>
      <c r="H35" s="253">
        <f>C35+Oct!H35</f>
        <v>1519.7720000000002</v>
      </c>
      <c r="I35" s="257">
        <v>1527.4960000000001</v>
      </c>
      <c r="J35" s="58">
        <f t="shared" si="2"/>
        <v>0.22571017231532098</v>
      </c>
      <c r="K35" s="59">
        <f t="shared" si="3"/>
        <v>0.21951219512195119</v>
      </c>
    </row>
    <row r="36" spans="1:11">
      <c r="A36" s="7" t="s">
        <v>27</v>
      </c>
      <c r="B36" s="217">
        <f>SUM(B37:B40)</f>
        <v>7.6</v>
      </c>
      <c r="C36" s="260">
        <v>6.415</v>
      </c>
      <c r="D36" s="261">
        <v>5.2779999999999996</v>
      </c>
      <c r="E36" s="73">
        <f t="shared" si="0"/>
        <v>0.18472330475448162</v>
      </c>
      <c r="F36" s="59">
        <f t="shared" si="1"/>
        <v>0.43993937097385372</v>
      </c>
      <c r="G36" s="253">
        <f>B36+Oct!G36</f>
        <v>70.599999999999994</v>
      </c>
      <c r="H36" s="253">
        <f>C36+Oct!H36</f>
        <v>60.978000000000002</v>
      </c>
      <c r="I36" s="257">
        <v>66.040000000000006</v>
      </c>
      <c r="J36" s="58">
        <f t="shared" si="2"/>
        <v>0.15779461445111331</v>
      </c>
      <c r="K36" s="59">
        <f t="shared" si="3"/>
        <v>6.9049061175045168E-2</v>
      </c>
    </row>
    <row r="37" spans="1:11">
      <c r="A37" s="7" t="s">
        <v>28</v>
      </c>
      <c r="B37" s="217">
        <v>1.8</v>
      </c>
      <c r="C37" s="260">
        <v>1.889</v>
      </c>
      <c r="D37" s="261">
        <v>1.395</v>
      </c>
      <c r="E37" s="73">
        <f t="shared" si="0"/>
        <v>-4.7114875595553163E-2</v>
      </c>
      <c r="F37" s="59">
        <f t="shared" si="1"/>
        <v>0.29032258064516125</v>
      </c>
      <c r="G37" s="253">
        <f>B37+Oct!G37</f>
        <v>14.100000000000001</v>
      </c>
      <c r="H37" s="253">
        <f>C37+Oct!H37</f>
        <v>12.484</v>
      </c>
      <c r="I37" s="257">
        <v>11.382999999999999</v>
      </c>
      <c r="J37" s="58">
        <f t="shared" si="2"/>
        <v>0.12944569048381949</v>
      </c>
      <c r="K37" s="59">
        <f t="shared" si="3"/>
        <v>0.23868927347799374</v>
      </c>
    </row>
    <row r="38" spans="1:11">
      <c r="A38" s="7" t="s">
        <v>29</v>
      </c>
      <c r="B38" s="217">
        <v>3</v>
      </c>
      <c r="C38" s="260">
        <v>2.0390000000000001</v>
      </c>
      <c r="D38" s="261">
        <v>1.639</v>
      </c>
      <c r="E38" s="73">
        <f t="shared" si="0"/>
        <v>0.47130946542422736</v>
      </c>
      <c r="F38" s="59">
        <f t="shared" si="1"/>
        <v>0.83038438071995113</v>
      </c>
      <c r="G38" s="253">
        <f>B38+Oct!G38</f>
        <v>25.2</v>
      </c>
      <c r="H38" s="253">
        <f>C38+Oct!H38</f>
        <v>19.725000000000001</v>
      </c>
      <c r="I38" s="257">
        <v>22.542999999999999</v>
      </c>
      <c r="J38" s="58">
        <f t="shared" si="2"/>
        <v>0.27756653992395419</v>
      </c>
      <c r="K38" s="59">
        <f t="shared" si="3"/>
        <v>0.11786363837998493</v>
      </c>
    </row>
    <row r="39" spans="1:11">
      <c r="A39" s="7" t="s">
        <v>30</v>
      </c>
      <c r="B39" s="217">
        <v>1.2</v>
      </c>
      <c r="C39" s="260">
        <v>1.05</v>
      </c>
      <c r="D39" s="261">
        <v>0.97799999999999998</v>
      </c>
      <c r="E39" s="73">
        <f t="shared" si="0"/>
        <v>0.14285714285714279</v>
      </c>
      <c r="F39" s="59">
        <f t="shared" si="1"/>
        <v>0.22699386503067487</v>
      </c>
      <c r="G39" s="253">
        <f>B39+Oct!G39</f>
        <v>13.2</v>
      </c>
      <c r="H39" s="253">
        <f>C39+Oct!H39</f>
        <v>12.085000000000001</v>
      </c>
      <c r="I39" s="257">
        <v>13.419</v>
      </c>
      <c r="J39" s="58">
        <f t="shared" si="2"/>
        <v>9.2263136119155931E-2</v>
      </c>
      <c r="K39" s="59">
        <f t="shared" si="3"/>
        <v>-1.6320143080706506E-2</v>
      </c>
    </row>
    <row r="40" spans="1:11">
      <c r="A40" s="7" t="s">
        <v>31</v>
      </c>
      <c r="B40" s="217">
        <v>1.6</v>
      </c>
      <c r="C40" s="260">
        <v>1.4370000000000001</v>
      </c>
      <c r="D40" s="261">
        <v>1.2330000000000001</v>
      </c>
      <c r="E40" s="73">
        <f t="shared" si="0"/>
        <v>0.1134307585247043</v>
      </c>
      <c r="F40" s="59">
        <f t="shared" si="1"/>
        <v>0.29764801297648003</v>
      </c>
      <c r="G40" s="253">
        <f>B40+Oct!G40</f>
        <v>18.100000000000001</v>
      </c>
      <c r="H40" s="253">
        <f>C40+Oct!H40</f>
        <v>16.423999999999999</v>
      </c>
      <c r="I40" s="257">
        <v>18.303999999999998</v>
      </c>
      <c r="J40" s="58">
        <f t="shared" si="2"/>
        <v>0.10204578665367769</v>
      </c>
      <c r="K40" s="59">
        <f t="shared" si="3"/>
        <v>-1.1145104895104785E-2</v>
      </c>
    </row>
    <row r="41" spans="1:11">
      <c r="A41" s="7" t="s">
        <v>32</v>
      </c>
      <c r="B41" s="217">
        <v>14.9</v>
      </c>
      <c r="C41" s="260">
        <v>15.08</v>
      </c>
      <c r="D41" s="261">
        <v>12.557</v>
      </c>
      <c r="E41" s="73">
        <f t="shared" si="0"/>
        <v>-1.1936339522546358E-2</v>
      </c>
      <c r="F41" s="59">
        <f t="shared" si="1"/>
        <v>0.18658915346022131</v>
      </c>
      <c r="G41" s="253">
        <f>B41+Oct!G41</f>
        <v>185.00000000000003</v>
      </c>
      <c r="H41" s="253">
        <f>C41+Oct!H41</f>
        <v>168.10600000000002</v>
      </c>
      <c r="I41" s="257">
        <v>162.21100000000001</v>
      </c>
      <c r="J41" s="58">
        <f t="shared" si="2"/>
        <v>0.10049611554614346</v>
      </c>
      <c r="K41" s="59">
        <f t="shared" si="3"/>
        <v>0.14048985580509354</v>
      </c>
    </row>
    <row r="42" spans="1:11">
      <c r="A42" s="7" t="s">
        <v>33</v>
      </c>
      <c r="B42" s="217">
        <v>0.9</v>
      </c>
      <c r="C42" s="260">
        <v>0.89100000000000001</v>
      </c>
      <c r="D42" s="261">
        <v>0.66800000000000004</v>
      </c>
      <c r="E42" s="73">
        <f t="shared" si="0"/>
        <v>1.0101010101010166E-2</v>
      </c>
      <c r="F42" s="59">
        <f t="shared" si="1"/>
        <v>0.34730538922155674</v>
      </c>
      <c r="G42" s="253">
        <f>B42+Oct!G42</f>
        <v>9.2000000000000011</v>
      </c>
      <c r="H42" s="253">
        <f>C42+Oct!H42</f>
        <v>9.5149999999999988</v>
      </c>
      <c r="I42" s="257">
        <v>7.601</v>
      </c>
      <c r="J42" s="58">
        <f t="shared" si="2"/>
        <v>-3.310562270099815E-2</v>
      </c>
      <c r="K42" s="59">
        <f t="shared" si="3"/>
        <v>0.21036705696618885</v>
      </c>
    </row>
    <row r="43" spans="1:11">
      <c r="A43" s="7" t="s">
        <v>34</v>
      </c>
      <c r="B43" s="217">
        <v>6.5</v>
      </c>
      <c r="C43" s="260">
        <v>4.3840000000000003</v>
      </c>
      <c r="D43" s="261">
        <v>3.2229999999999999</v>
      </c>
      <c r="E43" s="73">
        <f t="shared" si="0"/>
        <v>0.48266423357664223</v>
      </c>
      <c r="F43" s="59">
        <f t="shared" si="1"/>
        <v>1.0167545764815391</v>
      </c>
      <c r="G43" s="253">
        <f>B43+Oct!G43</f>
        <v>58.800000000000004</v>
      </c>
      <c r="H43" s="253">
        <f>C43+Oct!H43</f>
        <v>46.041000000000004</v>
      </c>
      <c r="I43" s="257">
        <v>44.344000000000001</v>
      </c>
      <c r="J43" s="58">
        <f t="shared" si="2"/>
        <v>0.27712256467061969</v>
      </c>
      <c r="K43" s="59">
        <f t="shared" si="3"/>
        <v>0.32599675266101391</v>
      </c>
    </row>
    <row r="44" spans="1:11">
      <c r="A44" s="7" t="s">
        <v>35</v>
      </c>
      <c r="B44" s="217">
        <v>3.1</v>
      </c>
      <c r="C44" s="260">
        <v>2.625</v>
      </c>
      <c r="D44" s="261">
        <v>2.4820000000000002</v>
      </c>
      <c r="E44" s="73">
        <f t="shared" si="0"/>
        <v>0.18095238095238098</v>
      </c>
      <c r="F44" s="59">
        <f t="shared" si="1"/>
        <v>0.24899274778404501</v>
      </c>
      <c r="G44" s="253">
        <f>B44+Oct!G44</f>
        <v>33.4</v>
      </c>
      <c r="H44" s="253">
        <f>C44+Oct!H44</f>
        <v>30.230999999999998</v>
      </c>
      <c r="I44" s="257">
        <v>30.033000000000001</v>
      </c>
      <c r="J44" s="58">
        <f t="shared" si="2"/>
        <v>0.10482617181039333</v>
      </c>
      <c r="K44" s="59">
        <f t="shared" si="3"/>
        <v>0.11211001231978157</v>
      </c>
    </row>
    <row r="45" spans="1:11">
      <c r="A45" s="6" t="s">
        <v>36</v>
      </c>
      <c r="B45" s="217">
        <v>21.4</v>
      </c>
      <c r="C45" s="260">
        <v>21.416</v>
      </c>
      <c r="D45" s="261">
        <v>16.225999999999999</v>
      </c>
      <c r="E45" s="73">
        <f t="shared" si="0"/>
        <v>-7.4710496824814676E-4</v>
      </c>
      <c r="F45" s="59">
        <f t="shared" si="1"/>
        <v>0.31887094786145687</v>
      </c>
      <c r="G45" s="253">
        <f>B45+Oct!G45</f>
        <v>284.5</v>
      </c>
      <c r="H45" s="253">
        <f>C45+Oct!H45</f>
        <v>262.92099999999999</v>
      </c>
      <c r="I45" s="257">
        <v>271.86799999999999</v>
      </c>
      <c r="J45" s="58">
        <f t="shared" si="2"/>
        <v>8.2074083089597183E-2</v>
      </c>
      <c r="K45" s="59">
        <f t="shared" si="3"/>
        <v>4.6463725043035531E-2</v>
      </c>
    </row>
    <row r="46" spans="1:11">
      <c r="A46" s="6" t="s">
        <v>37</v>
      </c>
      <c r="B46" s="217">
        <v>11.2</v>
      </c>
      <c r="C46" s="260">
        <v>7.6680000000000001</v>
      </c>
      <c r="D46" s="261">
        <v>5.07</v>
      </c>
      <c r="E46" s="73">
        <f t="shared" si="0"/>
        <v>0.46061554512258729</v>
      </c>
      <c r="F46" s="59">
        <f t="shared" si="1"/>
        <v>1.2090729783037473</v>
      </c>
      <c r="G46" s="253">
        <f>B46+Oct!G46</f>
        <v>93.699999999999989</v>
      </c>
      <c r="H46" s="253">
        <f>C46+Oct!H46</f>
        <v>71.507000000000005</v>
      </c>
      <c r="I46" s="257">
        <v>77.442999999999998</v>
      </c>
      <c r="J46" s="58">
        <f t="shared" si="2"/>
        <v>0.31036122337673211</v>
      </c>
      <c r="K46" s="59">
        <f t="shared" si="3"/>
        <v>0.20992213628087741</v>
      </c>
    </row>
    <row r="47" spans="1:11">
      <c r="A47" s="7" t="s">
        <v>38</v>
      </c>
      <c r="B47" s="217">
        <v>3.9</v>
      </c>
      <c r="C47" s="260">
        <v>3.3889999999999998</v>
      </c>
      <c r="D47" s="261">
        <v>2.3570000000000002</v>
      </c>
      <c r="E47" s="73">
        <f t="shared" si="0"/>
        <v>0.15078194157568614</v>
      </c>
      <c r="F47" s="59">
        <f t="shared" si="1"/>
        <v>0.65464573610521826</v>
      </c>
      <c r="G47" s="253">
        <f>B47+Oct!G47</f>
        <v>45.3</v>
      </c>
      <c r="H47" s="253">
        <f>C47+Oct!H47</f>
        <v>38.158999999999999</v>
      </c>
      <c r="I47" s="257">
        <v>35.496000000000002</v>
      </c>
      <c r="J47" s="58">
        <f t="shared" si="2"/>
        <v>0.18713802772609345</v>
      </c>
      <c r="K47" s="59">
        <f t="shared" si="3"/>
        <v>0.27620013522650422</v>
      </c>
    </row>
    <row r="48" spans="1:11">
      <c r="A48" s="7" t="s">
        <v>39</v>
      </c>
      <c r="B48" s="217">
        <v>22.2</v>
      </c>
      <c r="C48" s="260">
        <v>15.012</v>
      </c>
      <c r="D48" s="261">
        <v>12.432</v>
      </c>
      <c r="E48" s="73">
        <f t="shared" si="0"/>
        <v>0.47881694644284556</v>
      </c>
      <c r="F48" s="59">
        <f t="shared" si="1"/>
        <v>0.78571428571428559</v>
      </c>
      <c r="G48" s="253">
        <f>B48+Oct!G48</f>
        <v>202.29999999999998</v>
      </c>
      <c r="H48" s="253">
        <f>C48+Oct!H48</f>
        <v>151.34800000000001</v>
      </c>
      <c r="I48" s="257">
        <v>149.26900000000001</v>
      </c>
      <c r="J48" s="58">
        <f t="shared" si="2"/>
        <v>0.33665459735179826</v>
      </c>
      <c r="K48" s="59">
        <f t="shared" si="3"/>
        <v>0.35527135574030755</v>
      </c>
    </row>
    <row r="49" spans="1:11">
      <c r="A49" s="7" t="s">
        <v>40</v>
      </c>
      <c r="B49" s="217">
        <v>2.2999999999999998</v>
      </c>
      <c r="C49" s="260">
        <v>2.6749999999999998</v>
      </c>
      <c r="D49" s="261">
        <v>1.79</v>
      </c>
      <c r="E49" s="73">
        <f t="shared" si="0"/>
        <v>-0.14018691588785048</v>
      </c>
      <c r="F49" s="59">
        <f t="shared" si="1"/>
        <v>0.2849162011173183</v>
      </c>
      <c r="G49" s="253">
        <f>B49+Oct!G49</f>
        <v>26.700000000000006</v>
      </c>
      <c r="H49" s="253">
        <f>C49+Oct!H49</f>
        <v>21.962</v>
      </c>
      <c r="I49" s="257">
        <v>21.2</v>
      </c>
      <c r="J49" s="58">
        <f t="shared" si="2"/>
        <v>0.21573627174210031</v>
      </c>
      <c r="K49" s="59">
        <f t="shared" si="3"/>
        <v>0.25943396226415127</v>
      </c>
    </row>
    <row r="50" spans="1:11">
      <c r="A50" s="6" t="s">
        <v>41</v>
      </c>
      <c r="B50" s="217">
        <v>5.5</v>
      </c>
      <c r="C50" s="260">
        <v>4.7149999999999999</v>
      </c>
      <c r="D50" s="261">
        <v>2.988</v>
      </c>
      <c r="E50" s="73">
        <f t="shared" si="0"/>
        <v>0.16648992576882304</v>
      </c>
      <c r="F50" s="59">
        <f t="shared" si="1"/>
        <v>0.84069611780455156</v>
      </c>
      <c r="G50" s="253">
        <f>B50+Oct!G50</f>
        <v>55.400000000000006</v>
      </c>
      <c r="H50" s="253">
        <f>C50+Oct!H50</f>
        <v>39.751999999999995</v>
      </c>
      <c r="I50" s="257">
        <v>39.210999999999999</v>
      </c>
      <c r="J50" s="58">
        <f t="shared" si="2"/>
        <v>0.39364057154357046</v>
      </c>
      <c r="K50" s="59">
        <f t="shared" si="3"/>
        <v>0.41286883782612049</v>
      </c>
    </row>
    <row r="51" spans="1:11">
      <c r="A51" s="7" t="s">
        <v>42</v>
      </c>
      <c r="B51" s="217">
        <v>1</v>
      </c>
      <c r="C51" s="260">
        <v>1.0189999999999999</v>
      </c>
      <c r="D51" s="261">
        <v>0.88200000000000001</v>
      </c>
      <c r="E51" s="73">
        <f t="shared" si="0"/>
        <v>-1.8645731108930197E-2</v>
      </c>
      <c r="F51" s="59">
        <f t="shared" si="1"/>
        <v>0.13378684807256236</v>
      </c>
      <c r="G51" s="253">
        <f>B51+Oct!G51</f>
        <v>10.299999999999999</v>
      </c>
      <c r="H51" s="253">
        <f>C51+Oct!H51</f>
        <v>8.1929999999999996</v>
      </c>
      <c r="I51" s="257">
        <v>7.9690000000000003</v>
      </c>
      <c r="J51" s="58">
        <f t="shared" si="2"/>
        <v>0.25717075552300739</v>
      </c>
      <c r="K51" s="59">
        <f t="shared" si="3"/>
        <v>0.2925084703224996</v>
      </c>
    </row>
    <row r="52" spans="1:11">
      <c r="A52" s="7"/>
      <c r="B52" s="217"/>
      <c r="C52" s="260">
        <v>0</v>
      </c>
      <c r="D52" s="261">
        <v>0</v>
      </c>
      <c r="E52" s="73"/>
      <c r="F52" s="59"/>
      <c r="G52" s="253"/>
      <c r="H52" s="253"/>
      <c r="I52" s="257">
        <v>0</v>
      </c>
      <c r="J52" s="58"/>
      <c r="K52" s="59"/>
    </row>
    <row r="53" spans="1:11">
      <c r="A53" s="7" t="s">
        <v>43</v>
      </c>
      <c r="B53" s="217">
        <f>SUM(B54:B60)</f>
        <v>53.599999999999994</v>
      </c>
      <c r="C53" s="260">
        <v>49.923999999999999</v>
      </c>
      <c r="D53" s="261">
        <v>31.577000000000002</v>
      </c>
      <c r="E53" s="73">
        <f t="shared" si="0"/>
        <v>7.3631920519189098E-2</v>
      </c>
      <c r="F53" s="59">
        <f t="shared" si="1"/>
        <v>0.6974380086772014</v>
      </c>
      <c r="G53" s="253">
        <f>B53+Oct!G53</f>
        <v>496.9</v>
      </c>
      <c r="H53" s="253">
        <f>C53+Oct!H53</f>
        <v>406.60299999999995</v>
      </c>
      <c r="I53" s="257">
        <v>418.25900000000001</v>
      </c>
      <c r="J53" s="58">
        <f t="shared" si="2"/>
        <v>0.22207657100414901</v>
      </c>
      <c r="K53" s="59">
        <f t="shared" si="3"/>
        <v>0.18801986329044906</v>
      </c>
    </row>
    <row r="54" spans="1:11">
      <c r="A54" s="7" t="s">
        <v>44</v>
      </c>
      <c r="B54" s="217">
        <v>35.299999999999997</v>
      </c>
      <c r="C54" s="260">
        <v>31.780999999999999</v>
      </c>
      <c r="D54" s="261">
        <v>20.420999999999999</v>
      </c>
      <c r="E54" s="73">
        <f t="shared" si="0"/>
        <v>0.11072653472200367</v>
      </c>
      <c r="F54" s="59">
        <f t="shared" si="1"/>
        <v>0.72861270261005817</v>
      </c>
      <c r="G54" s="253">
        <f>B54+Oct!G54</f>
        <v>307.2</v>
      </c>
      <c r="H54" s="253">
        <f>C54+Oct!H54</f>
        <v>244.673</v>
      </c>
      <c r="I54" s="257">
        <v>278.84300000000002</v>
      </c>
      <c r="J54" s="58">
        <f t="shared" si="2"/>
        <v>0.25555333036338301</v>
      </c>
      <c r="K54" s="59">
        <f t="shared" si="3"/>
        <v>0.10169521917351321</v>
      </c>
    </row>
    <row r="55" spans="1:11">
      <c r="A55" s="7" t="s">
        <v>45</v>
      </c>
      <c r="B55" s="217">
        <v>12.8</v>
      </c>
      <c r="C55" s="260">
        <v>13.75</v>
      </c>
      <c r="D55" s="261">
        <v>8.7590000000000003</v>
      </c>
      <c r="E55" s="73">
        <f t="shared" si="0"/>
        <v>-6.9090909090909092E-2</v>
      </c>
      <c r="F55" s="59">
        <f t="shared" si="1"/>
        <v>0.46135403584884127</v>
      </c>
      <c r="G55" s="253">
        <f>B55+Oct!G55</f>
        <v>136.9</v>
      </c>
      <c r="H55" s="253">
        <f>C55+Oct!H55</f>
        <v>122.595</v>
      </c>
      <c r="I55" s="257">
        <v>105.646</v>
      </c>
      <c r="J55" s="58">
        <f t="shared" si="2"/>
        <v>0.11668501978057844</v>
      </c>
      <c r="K55" s="59">
        <f t="shared" si="3"/>
        <v>0.29583704068303573</v>
      </c>
    </row>
    <row r="56" spans="1:11">
      <c r="A56" s="7" t="s">
        <v>46</v>
      </c>
      <c r="B56" s="217">
        <v>2.2999999999999998</v>
      </c>
      <c r="C56" s="260">
        <v>2.0550000000000002</v>
      </c>
      <c r="D56" s="261">
        <v>0.97</v>
      </c>
      <c r="E56" s="73">
        <f t="shared" si="0"/>
        <v>0.11922141119221386</v>
      </c>
      <c r="F56" s="59">
        <f t="shared" si="1"/>
        <v>1.3711340206185567</v>
      </c>
      <c r="G56" s="253">
        <f>B56+Oct!G56</f>
        <v>24.000000000000004</v>
      </c>
      <c r="H56" s="253">
        <f>C56+Oct!H56</f>
        <v>21.081</v>
      </c>
      <c r="I56" s="257">
        <v>14.76</v>
      </c>
      <c r="J56" s="58">
        <f t="shared" si="2"/>
        <v>0.13846591717660472</v>
      </c>
      <c r="K56" s="59">
        <f t="shared" si="3"/>
        <v>0.62601626016260181</v>
      </c>
    </row>
    <row r="57" spans="1:11">
      <c r="A57" s="7" t="s">
        <v>47</v>
      </c>
      <c r="B57" s="217">
        <v>1.1000000000000001</v>
      </c>
      <c r="C57" s="260">
        <v>0.86</v>
      </c>
      <c r="D57" s="261">
        <v>0.57699999999999996</v>
      </c>
      <c r="E57" s="73">
        <f t="shared" si="0"/>
        <v>0.27906976744186052</v>
      </c>
      <c r="F57" s="59">
        <f t="shared" si="1"/>
        <v>0.90641247833622218</v>
      </c>
      <c r="G57" s="253">
        <f>B57+Oct!G57</f>
        <v>10</v>
      </c>
      <c r="H57" s="253">
        <f>C57+Oct!H57</f>
        <v>7.9650000000000007</v>
      </c>
      <c r="I57" s="257">
        <v>7.0830000000000002</v>
      </c>
      <c r="J57" s="58">
        <f t="shared" si="2"/>
        <v>0.25549278091650951</v>
      </c>
      <c r="K57" s="59">
        <f t="shared" si="3"/>
        <v>0.41183114499505846</v>
      </c>
    </row>
    <row r="58" spans="1:11">
      <c r="A58" s="7" t="s">
        <v>48</v>
      </c>
      <c r="B58" s="217">
        <v>0.3</v>
      </c>
      <c r="C58" s="260">
        <v>0.29299999999999998</v>
      </c>
      <c r="D58" s="261">
        <v>0.23499999999999999</v>
      </c>
      <c r="E58" s="73">
        <f t="shared" si="0"/>
        <v>2.3890784982935287E-2</v>
      </c>
      <c r="F58" s="59">
        <f t="shared" si="1"/>
        <v>0.27659574468085113</v>
      </c>
      <c r="G58" s="253">
        <f>B58+Oct!G58</f>
        <v>3.6999999999999997</v>
      </c>
      <c r="H58" s="253">
        <f>C58+Oct!H58</f>
        <v>3.577</v>
      </c>
      <c r="I58" s="257">
        <v>3.395</v>
      </c>
      <c r="J58" s="58">
        <f t="shared" si="2"/>
        <v>3.4386357282639057E-2</v>
      </c>
      <c r="K58" s="59">
        <f t="shared" si="3"/>
        <v>8.9837997054491803E-2</v>
      </c>
    </row>
    <row r="59" spans="1:11">
      <c r="A59" s="7" t="s">
        <v>87</v>
      </c>
      <c r="B59" s="217">
        <v>1.1000000000000001</v>
      </c>
      <c r="C59" s="260">
        <v>0.505</v>
      </c>
      <c r="D59" s="261">
        <v>0.54700000000000004</v>
      </c>
      <c r="E59" s="73">
        <f t="shared" si="0"/>
        <v>1.1782178217821784</v>
      </c>
      <c r="F59" s="59">
        <f t="shared" si="1"/>
        <v>1.0109689213893969</v>
      </c>
      <c r="G59" s="253">
        <f>B59+Oct!G59</f>
        <v>8.1999999999999993</v>
      </c>
      <c r="H59" s="253">
        <f>C59+Oct!H59</f>
        <v>5.3440000000000012</v>
      </c>
      <c r="I59" s="257">
        <v>7.431</v>
      </c>
      <c r="J59" s="58">
        <f t="shared" si="2"/>
        <v>0.53443113772455053</v>
      </c>
      <c r="K59" s="59">
        <f t="shared" si="3"/>
        <v>0.10348539900417153</v>
      </c>
    </row>
    <row r="60" spans="1:11">
      <c r="A60" s="7" t="s">
        <v>49</v>
      </c>
      <c r="B60" s="217">
        <v>0.7</v>
      </c>
      <c r="C60" s="260">
        <v>0.68</v>
      </c>
      <c r="D60" s="261">
        <v>6.8000000000000005E-2</v>
      </c>
      <c r="E60" s="73">
        <f t="shared" si="0"/>
        <v>2.9411764705882248E-2</v>
      </c>
      <c r="F60" s="59">
        <f t="shared" si="1"/>
        <v>9.2941176470588225</v>
      </c>
      <c r="G60" s="253">
        <f>B60+Oct!G60</f>
        <v>6.8999999999999995</v>
      </c>
      <c r="H60" s="253">
        <f>C60+Oct!H60</f>
        <v>1.3679999999999999</v>
      </c>
      <c r="I60" s="257">
        <v>1.101</v>
      </c>
      <c r="J60" s="58">
        <f t="shared" si="2"/>
        <v>4.0438596491228074</v>
      </c>
      <c r="K60" s="59">
        <f t="shared" si="3"/>
        <v>5.2670299727520433</v>
      </c>
    </row>
    <row r="61" spans="1:11">
      <c r="A61" s="2"/>
      <c r="B61" s="217"/>
      <c r="C61" s="260">
        <v>0</v>
      </c>
      <c r="D61" s="261">
        <v>0</v>
      </c>
      <c r="E61" s="73"/>
      <c r="F61" s="59"/>
      <c r="G61" s="253"/>
      <c r="H61" s="253"/>
      <c r="I61" s="257">
        <v>0</v>
      </c>
      <c r="J61" s="58"/>
      <c r="K61" s="59"/>
    </row>
    <row r="62" spans="1:11">
      <c r="A62" s="7" t="s">
        <v>50</v>
      </c>
      <c r="B62" s="217">
        <v>0.9</v>
      </c>
      <c r="C62" s="260">
        <v>1.577</v>
      </c>
      <c r="D62" s="261">
        <v>1.0189999999999999</v>
      </c>
      <c r="E62" s="73">
        <f t="shared" si="0"/>
        <v>-0.42929613189600502</v>
      </c>
      <c r="F62" s="59">
        <f t="shared" si="1"/>
        <v>-0.11678115799803723</v>
      </c>
      <c r="G62" s="253">
        <f>B62+Oct!G62</f>
        <v>10.6</v>
      </c>
      <c r="H62" s="253">
        <f>C62+Oct!H62</f>
        <v>12.355999999999998</v>
      </c>
      <c r="I62" s="257">
        <v>9.2379999999999995</v>
      </c>
      <c r="J62" s="58">
        <f t="shared" si="2"/>
        <v>-0.14211719002913559</v>
      </c>
      <c r="K62" s="59">
        <f t="shared" si="3"/>
        <v>0.14743450963411986</v>
      </c>
    </row>
    <row r="63" spans="1:11">
      <c r="A63" s="7" t="s">
        <v>51</v>
      </c>
      <c r="B63" s="217">
        <v>0.8</v>
      </c>
      <c r="C63" s="260">
        <v>0.32</v>
      </c>
      <c r="D63" s="261">
        <v>0.29799999999999999</v>
      </c>
      <c r="E63" s="73">
        <f t="shared" si="0"/>
        <v>1.5</v>
      </c>
      <c r="F63" s="59">
        <f t="shared" si="1"/>
        <v>1.6845637583892619</v>
      </c>
      <c r="G63" s="253">
        <f>B63+Oct!G63</f>
        <v>4.2</v>
      </c>
      <c r="H63" s="253">
        <f>C63+Oct!H63</f>
        <v>2.5909999999999997</v>
      </c>
      <c r="I63" s="257">
        <v>2.6019999999999999</v>
      </c>
      <c r="J63" s="58">
        <f t="shared" si="2"/>
        <v>0.62099575453492872</v>
      </c>
      <c r="K63" s="59">
        <f t="shared" si="3"/>
        <v>0.61414296694850123</v>
      </c>
    </row>
    <row r="64" spans="1:11">
      <c r="A64" s="7" t="s">
        <v>52</v>
      </c>
      <c r="B64" s="217">
        <v>2.6</v>
      </c>
      <c r="C64" s="260">
        <v>2.343</v>
      </c>
      <c r="D64" s="261">
        <v>2.2400000000000002</v>
      </c>
      <c r="E64" s="73">
        <f t="shared" si="0"/>
        <v>0.10968843363209557</v>
      </c>
      <c r="F64" s="59">
        <f t="shared" si="1"/>
        <v>0.16071428571428559</v>
      </c>
      <c r="G64" s="253">
        <f>B64+Oct!G64</f>
        <v>15.799999999999999</v>
      </c>
      <c r="H64" s="253">
        <f>C64+Oct!H64</f>
        <v>11.458</v>
      </c>
      <c r="I64" s="257">
        <v>9.3320000000000007</v>
      </c>
      <c r="J64" s="58">
        <f t="shared" si="2"/>
        <v>0.37894920579507763</v>
      </c>
      <c r="K64" s="59">
        <f t="shared" si="3"/>
        <v>0.69309901414487762</v>
      </c>
    </row>
    <row r="65" spans="1:11">
      <c r="A65" s="7" t="s">
        <v>53</v>
      </c>
      <c r="B65" s="217">
        <v>2.4</v>
      </c>
      <c r="C65" s="260">
        <v>1.502</v>
      </c>
      <c r="D65" s="261">
        <v>0.76200000000000001</v>
      </c>
      <c r="E65" s="73">
        <f t="shared" si="0"/>
        <v>0.59786950732356847</v>
      </c>
      <c r="F65" s="59">
        <f t="shared" si="1"/>
        <v>2.1496062992125982</v>
      </c>
      <c r="G65" s="253">
        <f>B65+Oct!G65</f>
        <v>11.700000000000001</v>
      </c>
      <c r="H65" s="253">
        <f>C65+Oct!H65</f>
        <v>7.1979999999999995</v>
      </c>
      <c r="I65" s="257">
        <v>5.1909999999999998</v>
      </c>
      <c r="J65" s="58">
        <f t="shared" si="2"/>
        <v>0.62545151430953072</v>
      </c>
      <c r="K65" s="59">
        <f t="shared" si="3"/>
        <v>1.2539009824696592</v>
      </c>
    </row>
    <row r="66" spans="1:11">
      <c r="A66" s="2"/>
      <c r="B66" s="217"/>
      <c r="C66" s="260">
        <v>0</v>
      </c>
      <c r="D66" s="261">
        <v>0</v>
      </c>
      <c r="E66" s="73"/>
      <c r="F66" s="59"/>
      <c r="G66" s="253"/>
      <c r="H66" s="253"/>
      <c r="I66" s="257">
        <v>0</v>
      </c>
      <c r="J66" s="58"/>
      <c r="K66" s="59"/>
    </row>
    <row r="67" spans="1:11">
      <c r="A67" s="7" t="s">
        <v>54</v>
      </c>
      <c r="B67" s="217">
        <v>19.399999999999999</v>
      </c>
      <c r="C67" s="260">
        <v>6.4790000000000001</v>
      </c>
      <c r="D67" s="261">
        <v>4.7409999999999997</v>
      </c>
      <c r="E67" s="73">
        <f t="shared" si="0"/>
        <v>1.9942892421670009</v>
      </c>
      <c r="F67" s="59">
        <f t="shared" si="1"/>
        <v>3.0919637207340225</v>
      </c>
      <c r="G67" s="253">
        <f>B67+Oct!G67</f>
        <v>85.1</v>
      </c>
      <c r="H67" s="253">
        <f>C67+Oct!H67</f>
        <v>47.295000000000002</v>
      </c>
      <c r="I67" s="257">
        <v>54.847999999999999</v>
      </c>
      <c r="J67" s="58">
        <f t="shared" si="2"/>
        <v>0.79934453959192275</v>
      </c>
      <c r="K67" s="59">
        <f t="shared" si="3"/>
        <v>0.55156067677946319</v>
      </c>
    </row>
    <row r="68" spans="1:11">
      <c r="A68" s="7" t="s">
        <v>55</v>
      </c>
      <c r="B68" s="217">
        <v>3.6</v>
      </c>
      <c r="C68" s="260">
        <v>2.6579999999999999</v>
      </c>
      <c r="D68" s="261">
        <v>1.9339999999999999</v>
      </c>
      <c r="E68" s="73">
        <f t="shared" si="0"/>
        <v>0.35440180586907455</v>
      </c>
      <c r="F68" s="59">
        <f t="shared" si="1"/>
        <v>0.86142709410548091</v>
      </c>
      <c r="G68" s="253">
        <f>B68+Oct!G68</f>
        <v>20.7</v>
      </c>
      <c r="H68" s="253">
        <f>C68+Oct!H68</f>
        <v>15.175999999999998</v>
      </c>
      <c r="I68" s="257">
        <v>15.17</v>
      </c>
      <c r="J68" s="58">
        <f t="shared" si="2"/>
        <v>0.36399578281497114</v>
      </c>
      <c r="K68" s="59">
        <f t="shared" si="3"/>
        <v>0.36453526697429139</v>
      </c>
    </row>
    <row r="69" spans="1:11">
      <c r="A69" s="7" t="s">
        <v>56</v>
      </c>
      <c r="B69" s="217">
        <v>1.2</v>
      </c>
      <c r="C69" s="260">
        <v>0.82499999999999996</v>
      </c>
      <c r="D69" s="261">
        <v>0.14599999999999999</v>
      </c>
      <c r="E69" s="73">
        <f t="shared" si="0"/>
        <v>0.45454545454545459</v>
      </c>
      <c r="F69" s="59">
        <f t="shared" si="1"/>
        <v>7.2191780821917817</v>
      </c>
      <c r="G69" s="253">
        <f>B69+Oct!G69</f>
        <v>5.8999999999999995</v>
      </c>
      <c r="H69" s="253">
        <f>C69+Oct!H69</f>
        <v>4.0439999999999996</v>
      </c>
      <c r="I69" s="257">
        <v>2.4580000000000002</v>
      </c>
      <c r="J69" s="58">
        <f t="shared" si="2"/>
        <v>0.4589515331355094</v>
      </c>
      <c r="K69" s="59">
        <f t="shared" si="3"/>
        <v>1.4003254678600485</v>
      </c>
    </row>
    <row r="70" spans="1:11">
      <c r="A70" s="7" t="s">
        <v>88</v>
      </c>
      <c r="B70" s="217">
        <v>0.3</v>
      </c>
      <c r="C70" s="260">
        <v>0.21299999999999999</v>
      </c>
      <c r="D70" s="261">
        <v>0.38500000000000001</v>
      </c>
      <c r="E70" s="73">
        <f t="shared" ref="E70:E96" si="4">B70/C70-1</f>
        <v>0.40845070422535201</v>
      </c>
      <c r="F70" s="59">
        <f t="shared" ref="F70:F96" si="5">B70/D70-1</f>
        <v>-0.22077922077922085</v>
      </c>
      <c r="G70" s="253">
        <f>B70+Oct!G70</f>
        <v>2.4999999999999996</v>
      </c>
      <c r="H70" s="253">
        <f>C70+Oct!H70</f>
        <v>1.6659999999999999</v>
      </c>
      <c r="I70" s="257">
        <v>2.6579999999999999</v>
      </c>
      <c r="J70" s="58">
        <f t="shared" ref="J70:J96" si="6">G70/H70-1</f>
        <v>0.50060024009603832</v>
      </c>
      <c r="K70" s="59">
        <f t="shared" ref="K70:K96" si="7">G70/I70-1</f>
        <v>-5.9443190368698384E-2</v>
      </c>
    </row>
    <row r="71" spans="1:11">
      <c r="A71" s="7" t="s">
        <v>89</v>
      </c>
      <c r="B71" s="217">
        <v>0.9</v>
      </c>
      <c r="C71" s="260">
        <v>0.69399999999999995</v>
      </c>
      <c r="D71" s="261">
        <v>0.38500000000000001</v>
      </c>
      <c r="E71" s="73">
        <f t="shared" si="4"/>
        <v>0.2968299711815563</v>
      </c>
      <c r="F71" s="59">
        <f t="shared" si="5"/>
        <v>1.3376623376623376</v>
      </c>
      <c r="G71" s="253">
        <f>B71+Oct!G71</f>
        <v>5.8</v>
      </c>
      <c r="H71" s="253">
        <f>C71+Oct!H71</f>
        <v>4.2810000000000006</v>
      </c>
      <c r="I71" s="257">
        <v>4.4610000000000003</v>
      </c>
      <c r="J71" s="58">
        <f t="shared" si="6"/>
        <v>0.35482363933660332</v>
      </c>
      <c r="K71" s="59">
        <f t="shared" si="7"/>
        <v>0.30015691548980028</v>
      </c>
    </row>
    <row r="72" spans="1:11">
      <c r="A72" s="7" t="s">
        <v>59</v>
      </c>
      <c r="B72" s="217">
        <v>11.7</v>
      </c>
      <c r="C72" s="260">
        <v>6.0590000000000002</v>
      </c>
      <c r="D72" s="261">
        <v>4.1230000000000002</v>
      </c>
      <c r="E72" s="73">
        <f t="shared" si="4"/>
        <v>0.9310117181052977</v>
      </c>
      <c r="F72" s="59">
        <f t="shared" si="5"/>
        <v>1.8377395100654859</v>
      </c>
      <c r="G72" s="253">
        <f>B72+Oct!G72</f>
        <v>74.7</v>
      </c>
      <c r="H72" s="253">
        <f>C72+Oct!H72</f>
        <v>46.191999999999993</v>
      </c>
      <c r="I72" s="257">
        <v>41.57</v>
      </c>
      <c r="J72" s="58">
        <f t="shared" si="6"/>
        <v>0.61716314513335679</v>
      </c>
      <c r="K72" s="59">
        <f t="shared" si="7"/>
        <v>0.79696896800577344</v>
      </c>
    </row>
    <row r="73" spans="1:11">
      <c r="A73" s="7" t="s">
        <v>60</v>
      </c>
      <c r="B73" s="217">
        <v>2.2000000000000002</v>
      </c>
      <c r="C73" s="260">
        <v>1.2809999999999999</v>
      </c>
      <c r="D73" s="261">
        <v>0.89500000000000002</v>
      </c>
      <c r="E73" s="73">
        <f t="shared" si="4"/>
        <v>0.71740827478532432</v>
      </c>
      <c r="F73" s="59">
        <f t="shared" si="5"/>
        <v>1.4581005586592179</v>
      </c>
      <c r="G73" s="253">
        <f>B73+Oct!G73</f>
        <v>10.7</v>
      </c>
      <c r="H73" s="253">
        <f>C73+Oct!H73</f>
        <v>7.5819999999999999</v>
      </c>
      <c r="I73" s="257">
        <v>8.1910000000000007</v>
      </c>
      <c r="J73" s="58">
        <f t="shared" si="6"/>
        <v>0.4112371405961488</v>
      </c>
      <c r="K73" s="59">
        <f t="shared" si="7"/>
        <v>0.30631180564033667</v>
      </c>
    </row>
    <row r="74" spans="1:11">
      <c r="A74" s="7" t="s">
        <v>61</v>
      </c>
      <c r="B74" s="217">
        <v>4.3</v>
      </c>
      <c r="C74" s="260">
        <v>2.2280000000000002</v>
      </c>
      <c r="D74" s="261">
        <v>1.4970000000000001</v>
      </c>
      <c r="E74" s="73">
        <f t="shared" si="4"/>
        <v>0.92998204667863527</v>
      </c>
      <c r="F74" s="59">
        <f t="shared" si="5"/>
        <v>1.872411489645958</v>
      </c>
      <c r="G74" s="253">
        <f>B74+Oct!G74</f>
        <v>22.2</v>
      </c>
      <c r="H74" s="253">
        <f>C74+Oct!H74</f>
        <v>14.833000000000002</v>
      </c>
      <c r="I74" s="257">
        <v>13.585000000000001</v>
      </c>
      <c r="J74" s="58">
        <f t="shared" si="6"/>
        <v>0.49666284635609759</v>
      </c>
      <c r="K74" s="59">
        <f t="shared" si="7"/>
        <v>0.6341553183658446</v>
      </c>
    </row>
    <row r="75" spans="1:11">
      <c r="A75" s="7" t="s">
        <v>62</v>
      </c>
      <c r="B75" s="217">
        <v>2.2999999999999998</v>
      </c>
      <c r="C75" s="260">
        <v>1.6619999999999999</v>
      </c>
      <c r="D75" s="261">
        <v>0.76800000000000002</v>
      </c>
      <c r="E75" s="73">
        <f t="shared" si="4"/>
        <v>0.38387484957882068</v>
      </c>
      <c r="F75" s="59">
        <f t="shared" si="5"/>
        <v>1.9947916666666665</v>
      </c>
      <c r="G75" s="253">
        <f>B75+Oct!G75</f>
        <v>13.399999999999999</v>
      </c>
      <c r="H75" s="253">
        <f>C75+Oct!H75</f>
        <v>7.8999999999999995</v>
      </c>
      <c r="I75" s="257">
        <v>8.4139999999999997</v>
      </c>
      <c r="J75" s="58">
        <f t="shared" si="6"/>
        <v>0.69620253164556956</v>
      </c>
      <c r="K75" s="59">
        <f t="shared" si="7"/>
        <v>0.59258378892322305</v>
      </c>
    </row>
    <row r="76" spans="1:11">
      <c r="A76" s="7" t="s">
        <v>63</v>
      </c>
      <c r="B76" s="217">
        <v>3.1</v>
      </c>
      <c r="C76" s="260">
        <v>2.0339999999999998</v>
      </c>
      <c r="D76" s="261">
        <v>1.2549999999999999</v>
      </c>
      <c r="E76" s="73">
        <f t="shared" si="4"/>
        <v>0.52409046214355959</v>
      </c>
      <c r="F76" s="59">
        <f t="shared" si="5"/>
        <v>1.4701195219123511</v>
      </c>
      <c r="G76" s="253">
        <f>B76+Oct!G76</f>
        <v>26.6</v>
      </c>
      <c r="H76" s="253">
        <f>C76+Oct!H76</f>
        <v>16.367000000000001</v>
      </c>
      <c r="I76" s="257">
        <v>14.951000000000001</v>
      </c>
      <c r="J76" s="58">
        <f t="shared" si="6"/>
        <v>0.6252214822508706</v>
      </c>
      <c r="K76" s="59">
        <f t="shared" si="7"/>
        <v>0.77914520767841622</v>
      </c>
    </row>
    <row r="77" spans="1:11">
      <c r="A77" s="7" t="s">
        <v>64</v>
      </c>
      <c r="B77" s="217">
        <f>0.6+0.5</f>
        <v>1.1000000000000001</v>
      </c>
      <c r="C77" s="260">
        <v>0.58699999999999997</v>
      </c>
      <c r="D77" s="261">
        <v>0.39600000000000002</v>
      </c>
      <c r="E77" s="73">
        <f t="shared" si="4"/>
        <v>0.87393526405451483</v>
      </c>
      <c r="F77" s="59">
        <f t="shared" si="5"/>
        <v>1.7777777777777777</v>
      </c>
      <c r="G77" s="253">
        <f>B77+Oct!G77</f>
        <v>6.4</v>
      </c>
      <c r="H77" s="253">
        <f>C77+Oct!H77</f>
        <v>5.5169999999999995</v>
      </c>
      <c r="I77" s="257">
        <v>3.9119999999999999</v>
      </c>
      <c r="J77" s="58">
        <f t="shared" si="6"/>
        <v>0.16005075222040976</v>
      </c>
      <c r="K77" s="59">
        <f t="shared" si="7"/>
        <v>0.63599182004089982</v>
      </c>
    </row>
    <row r="78" spans="1:11">
      <c r="A78" s="7"/>
      <c r="B78" s="217"/>
      <c r="C78" s="260">
        <v>0</v>
      </c>
      <c r="D78" s="261">
        <v>0</v>
      </c>
      <c r="E78" s="73"/>
      <c r="F78" s="59"/>
      <c r="G78" s="253"/>
      <c r="H78" s="253"/>
      <c r="I78" s="257">
        <v>0</v>
      </c>
      <c r="J78" s="58"/>
      <c r="K78" s="59"/>
    </row>
    <row r="79" spans="1:11">
      <c r="A79" s="7" t="s">
        <v>65</v>
      </c>
      <c r="B79" s="217">
        <f>SUM(B80:B83)</f>
        <v>89.300000000000011</v>
      </c>
      <c r="C79" s="260">
        <v>75.555000000000007</v>
      </c>
      <c r="D79" s="261">
        <v>59.091999999999999</v>
      </c>
      <c r="E79" s="73">
        <f t="shared" si="4"/>
        <v>0.18192045529746537</v>
      </c>
      <c r="F79" s="59">
        <f t="shared" si="5"/>
        <v>0.51120287010085996</v>
      </c>
      <c r="G79" s="253">
        <f>B79+Oct!G79</f>
        <v>939.10000000000014</v>
      </c>
      <c r="H79" s="253">
        <f>C79+Oct!H79</f>
        <v>759.58799999999997</v>
      </c>
      <c r="I79" s="257">
        <v>747.56399999999996</v>
      </c>
      <c r="J79" s="58">
        <f t="shared" si="6"/>
        <v>0.23632811471481929</v>
      </c>
      <c r="K79" s="59">
        <f t="shared" si="7"/>
        <v>0.25621351482949972</v>
      </c>
    </row>
    <row r="80" spans="1:11">
      <c r="A80" s="7" t="s">
        <v>66</v>
      </c>
      <c r="B80" s="217">
        <v>65.7</v>
      </c>
      <c r="C80" s="260">
        <v>56.295999999999999</v>
      </c>
      <c r="D80" s="261">
        <v>44.418999999999997</v>
      </c>
      <c r="E80" s="73">
        <f t="shared" si="4"/>
        <v>0.16704561602955814</v>
      </c>
      <c r="F80" s="59">
        <f t="shared" si="5"/>
        <v>0.47909678290821511</v>
      </c>
      <c r="G80" s="253">
        <f>B80+Oct!G80</f>
        <v>716.20000000000016</v>
      </c>
      <c r="H80" s="253">
        <f>C80+Oct!H80</f>
        <v>591.30900000000008</v>
      </c>
      <c r="I80" s="257">
        <v>570.67200000000003</v>
      </c>
      <c r="J80" s="58">
        <f t="shared" si="6"/>
        <v>0.21121105885416935</v>
      </c>
      <c r="K80" s="59">
        <f t="shared" si="7"/>
        <v>0.25501163540527672</v>
      </c>
    </row>
    <row r="81" spans="1:11">
      <c r="A81" s="7" t="s">
        <v>67</v>
      </c>
      <c r="B81" s="217">
        <v>7</v>
      </c>
      <c r="C81" s="260">
        <v>6.4779999999999998</v>
      </c>
      <c r="D81" s="261">
        <v>4.7640000000000002</v>
      </c>
      <c r="E81" s="73">
        <f t="shared" si="4"/>
        <v>8.0580426057425214E-2</v>
      </c>
      <c r="F81" s="59">
        <f t="shared" si="5"/>
        <v>0.46935348446683456</v>
      </c>
      <c r="G81" s="253">
        <f>B81+Oct!G81</f>
        <v>75.199999999999989</v>
      </c>
      <c r="H81" s="253">
        <f>C81+Oct!H81</f>
        <v>59.346000000000004</v>
      </c>
      <c r="I81" s="257">
        <v>59.526000000000003</v>
      </c>
      <c r="J81" s="58">
        <f t="shared" si="6"/>
        <v>0.2671452161898018</v>
      </c>
      <c r="K81" s="59">
        <f t="shared" si="7"/>
        <v>0.26331351006282944</v>
      </c>
    </row>
    <row r="82" spans="1:11">
      <c r="A82" s="7" t="s">
        <v>68</v>
      </c>
      <c r="B82" s="217">
        <v>3.2</v>
      </c>
      <c r="C82" s="260">
        <v>2.2629999999999999</v>
      </c>
      <c r="D82" s="261">
        <v>1.754</v>
      </c>
      <c r="E82" s="73">
        <f t="shared" si="4"/>
        <v>0.41405214317277972</v>
      </c>
      <c r="F82" s="59">
        <f t="shared" si="5"/>
        <v>0.82440136830102628</v>
      </c>
      <c r="G82" s="253">
        <f>B82+Oct!G82</f>
        <v>25.9</v>
      </c>
      <c r="H82" s="253">
        <f>C82+Oct!H82</f>
        <v>19.046999999999997</v>
      </c>
      <c r="I82" s="257">
        <v>21.175000000000001</v>
      </c>
      <c r="J82" s="58">
        <f t="shared" si="6"/>
        <v>0.35979419331128271</v>
      </c>
      <c r="K82" s="59">
        <f t="shared" si="7"/>
        <v>0.22314049586776852</v>
      </c>
    </row>
    <row r="83" spans="1:11">
      <c r="A83" s="7" t="s">
        <v>69</v>
      </c>
      <c r="B83" s="217">
        <f>1.2+2+SUM(B84:B89)</f>
        <v>13.399999999999999</v>
      </c>
      <c r="C83" s="260">
        <v>10.518000000000001</v>
      </c>
      <c r="D83" s="261">
        <v>8.1549999999999994</v>
      </c>
      <c r="E83" s="73">
        <f t="shared" si="4"/>
        <v>0.27400646510743476</v>
      </c>
      <c r="F83" s="59">
        <f t="shared" si="5"/>
        <v>0.64316370324954009</v>
      </c>
      <c r="G83" s="253">
        <f>B83+Oct!G83</f>
        <v>129.1</v>
      </c>
      <c r="H83" s="253">
        <f>C83+Oct!H83</f>
        <v>89.885999999999996</v>
      </c>
      <c r="I83" s="257">
        <v>96.191000000000003</v>
      </c>
      <c r="J83" s="58">
        <f t="shared" si="6"/>
        <v>0.4362637118127406</v>
      </c>
      <c r="K83" s="59">
        <f t="shared" si="7"/>
        <v>0.34212140428938254</v>
      </c>
    </row>
    <row r="84" spans="1:11">
      <c r="A84" s="7" t="s">
        <v>70</v>
      </c>
      <c r="B84" s="217">
        <v>0.2</v>
      </c>
      <c r="C84" s="260">
        <v>0.254</v>
      </c>
      <c r="D84" s="261">
        <v>0.127</v>
      </c>
      <c r="E84" s="73">
        <f t="shared" si="4"/>
        <v>-0.21259842519685035</v>
      </c>
      <c r="F84" s="59">
        <f t="shared" si="5"/>
        <v>0.5748031496062993</v>
      </c>
      <c r="G84" s="253">
        <f>B84+Oct!G84</f>
        <v>3.4000000000000004</v>
      </c>
      <c r="H84" s="253">
        <f>C84+Oct!H84</f>
        <v>2.8380000000000005</v>
      </c>
      <c r="I84" s="257">
        <v>2.7829999999999999</v>
      </c>
      <c r="J84" s="58">
        <f t="shared" si="6"/>
        <v>0.19802677942212821</v>
      </c>
      <c r="K84" s="59">
        <f t="shared" si="7"/>
        <v>0.22170319798778304</v>
      </c>
    </row>
    <row r="85" spans="1:11">
      <c r="A85" s="7" t="s">
        <v>71</v>
      </c>
      <c r="B85" s="217">
        <v>1.7</v>
      </c>
      <c r="C85" s="260">
        <v>1.4990000000000001</v>
      </c>
      <c r="D85" s="261">
        <v>1.2869999999999999</v>
      </c>
      <c r="E85" s="73">
        <f t="shared" si="4"/>
        <v>0.13408939292861888</v>
      </c>
      <c r="F85" s="59">
        <f t="shared" si="5"/>
        <v>0.32090132090132095</v>
      </c>
      <c r="G85" s="253">
        <f>B85+Oct!G85</f>
        <v>29.6</v>
      </c>
      <c r="H85" s="253">
        <f>C85+Oct!H85</f>
        <v>23.43</v>
      </c>
      <c r="I85" s="257">
        <v>22.504999999999999</v>
      </c>
      <c r="J85" s="58">
        <f t="shared" si="6"/>
        <v>0.26333760136577045</v>
      </c>
      <c r="K85" s="59">
        <f t="shared" si="7"/>
        <v>0.31526327482781613</v>
      </c>
    </row>
    <row r="86" spans="1:11">
      <c r="A86" s="7" t="s">
        <v>72</v>
      </c>
      <c r="B86" s="217">
        <v>6.7</v>
      </c>
      <c r="C86" s="260">
        <v>4.468</v>
      </c>
      <c r="D86" s="261">
        <v>3.339</v>
      </c>
      <c r="E86" s="73">
        <f t="shared" si="4"/>
        <v>0.49955237242614148</v>
      </c>
      <c r="F86" s="59">
        <f t="shared" si="5"/>
        <v>1.0065887990416291</v>
      </c>
      <c r="G86" s="253">
        <f>B86+Oct!G86</f>
        <v>51.300000000000004</v>
      </c>
      <c r="H86" s="253">
        <f>C86+Oct!H86</f>
        <v>31.094000000000001</v>
      </c>
      <c r="I86" s="257">
        <v>39.86</v>
      </c>
      <c r="J86" s="58">
        <f t="shared" si="6"/>
        <v>0.64983598121824149</v>
      </c>
      <c r="K86" s="59">
        <f t="shared" si="7"/>
        <v>0.28700451580531872</v>
      </c>
    </row>
    <row r="87" spans="1:11">
      <c r="A87" s="7" t="s">
        <v>73</v>
      </c>
      <c r="B87" s="217">
        <v>0.5</v>
      </c>
      <c r="C87" s="260">
        <v>0.30399999999999999</v>
      </c>
      <c r="D87" s="261">
        <v>0.35699999999999998</v>
      </c>
      <c r="E87" s="73">
        <f t="shared" si="4"/>
        <v>0.64473684210526327</v>
      </c>
      <c r="F87" s="59">
        <f t="shared" si="5"/>
        <v>0.40056022408963599</v>
      </c>
      <c r="G87" s="253">
        <f>B87+Oct!G87</f>
        <v>7</v>
      </c>
      <c r="H87" s="253">
        <f>C87+Oct!H87</f>
        <v>5.0289999999999999</v>
      </c>
      <c r="I87" s="257">
        <v>5.3029999999999999</v>
      </c>
      <c r="J87" s="58">
        <f t="shared" si="6"/>
        <v>0.39192682441837356</v>
      </c>
      <c r="K87" s="59">
        <f t="shared" si="7"/>
        <v>0.32000754290024513</v>
      </c>
    </row>
    <row r="88" spans="1:11">
      <c r="A88" s="7" t="s">
        <v>74</v>
      </c>
      <c r="B88" s="217">
        <v>1</v>
      </c>
      <c r="C88" s="260">
        <v>0.82399999999999995</v>
      </c>
      <c r="D88" s="261">
        <v>0.60099999999999998</v>
      </c>
      <c r="E88" s="73">
        <f t="shared" si="4"/>
        <v>0.21359223300970887</v>
      </c>
      <c r="F88" s="59">
        <f t="shared" si="5"/>
        <v>0.6638935108153079</v>
      </c>
      <c r="G88" s="253">
        <f>B88+Oct!G88</f>
        <v>10.9</v>
      </c>
      <c r="H88" s="253">
        <f>C88+Oct!H88</f>
        <v>7.4680000000000009</v>
      </c>
      <c r="I88" s="257">
        <v>7.3570000000000002</v>
      </c>
      <c r="J88" s="58">
        <f t="shared" si="6"/>
        <v>0.45956079271558647</v>
      </c>
      <c r="K88" s="59">
        <f t="shared" si="7"/>
        <v>0.48158216664401254</v>
      </c>
    </row>
    <row r="89" spans="1:11">
      <c r="A89" s="7" t="s">
        <v>75</v>
      </c>
      <c r="B89" s="217">
        <v>0.1</v>
      </c>
      <c r="C89" s="260">
        <v>0.188</v>
      </c>
      <c r="D89" s="261">
        <v>8.4000000000000005E-2</v>
      </c>
      <c r="E89" s="73">
        <f t="shared" si="4"/>
        <v>-0.46808510638297873</v>
      </c>
      <c r="F89" s="59">
        <f t="shared" si="5"/>
        <v>0.19047619047619047</v>
      </c>
      <c r="G89" s="253">
        <f>B89+Oct!G89</f>
        <v>2.1000000000000005</v>
      </c>
      <c r="H89" s="253">
        <f>C89+Oct!H89</f>
        <v>1.1539999999999999</v>
      </c>
      <c r="I89" s="257">
        <v>1.198</v>
      </c>
      <c r="J89" s="58">
        <f t="shared" si="6"/>
        <v>0.81975736568457602</v>
      </c>
      <c r="K89" s="59">
        <f t="shared" si="7"/>
        <v>0.7529215358931558</v>
      </c>
    </row>
    <row r="90" spans="1:11">
      <c r="A90" s="7"/>
      <c r="B90" s="217"/>
      <c r="C90" s="260">
        <v>0</v>
      </c>
      <c r="D90" s="261">
        <v>0</v>
      </c>
      <c r="E90" s="73"/>
      <c r="F90" s="59"/>
      <c r="G90" s="253"/>
      <c r="H90" s="253"/>
      <c r="I90" s="257">
        <v>0</v>
      </c>
      <c r="J90" s="58"/>
      <c r="K90" s="59"/>
    </row>
    <row r="91" spans="1:11">
      <c r="A91" s="7" t="s">
        <v>76</v>
      </c>
      <c r="B91" s="217">
        <f>SUM(B92:B94)</f>
        <v>3</v>
      </c>
      <c r="C91" s="260">
        <v>2.859</v>
      </c>
      <c r="D91" s="261">
        <v>2.0270000000000001</v>
      </c>
      <c r="E91" s="73">
        <f t="shared" si="4"/>
        <v>4.9317943336831149E-2</v>
      </c>
      <c r="F91" s="59">
        <f t="shared" si="5"/>
        <v>0.48001973359644778</v>
      </c>
      <c r="G91" s="253">
        <f>B91+Oct!G91</f>
        <v>41.9</v>
      </c>
      <c r="H91" s="253">
        <f>C91+Oct!H91</f>
        <v>30.381</v>
      </c>
      <c r="I91" s="257">
        <v>30.477</v>
      </c>
      <c r="J91" s="58">
        <f t="shared" si="6"/>
        <v>0.37915144333629569</v>
      </c>
      <c r="K91" s="59">
        <f t="shared" si="7"/>
        <v>0.3748072316829083</v>
      </c>
    </row>
    <row r="92" spans="1:11">
      <c r="A92" s="7" t="s">
        <v>77</v>
      </c>
      <c r="B92" s="217">
        <v>2.6</v>
      </c>
      <c r="C92" s="260">
        <v>2.4689999999999999</v>
      </c>
      <c r="D92" s="261">
        <v>1.7709999999999999</v>
      </c>
      <c r="E92" s="73">
        <f t="shared" si="4"/>
        <v>5.3057918185500208E-2</v>
      </c>
      <c r="F92" s="59">
        <f t="shared" si="5"/>
        <v>0.46809712027103334</v>
      </c>
      <c r="G92" s="253">
        <f>B92+Oct!G92</f>
        <v>36.1</v>
      </c>
      <c r="H92" s="253">
        <f>C92+Oct!H92</f>
        <v>26.288</v>
      </c>
      <c r="I92" s="257">
        <v>26.007999999999999</v>
      </c>
      <c r="J92" s="58">
        <f t="shared" si="6"/>
        <v>0.37325015216068169</v>
      </c>
      <c r="K92" s="59">
        <f t="shared" si="7"/>
        <v>0.38803445093817301</v>
      </c>
    </row>
    <row r="93" spans="1:11">
      <c r="A93" s="7" t="s">
        <v>78</v>
      </c>
      <c r="B93" s="217">
        <v>0.4</v>
      </c>
      <c r="C93" s="260">
        <v>0.35199999999999998</v>
      </c>
      <c r="D93" s="261">
        <v>0.23599999999999999</v>
      </c>
      <c r="E93" s="73">
        <f t="shared" si="4"/>
        <v>0.13636363636363646</v>
      </c>
      <c r="F93" s="59">
        <f t="shared" si="5"/>
        <v>0.69491525423728828</v>
      </c>
      <c r="G93" s="253">
        <f>B93+Oct!G93</f>
        <v>4.5</v>
      </c>
      <c r="H93" s="253">
        <f>C93+Oct!H93</f>
        <v>3.181</v>
      </c>
      <c r="I93" s="257">
        <v>3.2429999999999999</v>
      </c>
      <c r="J93" s="58">
        <f t="shared" si="6"/>
        <v>0.41464948129519019</v>
      </c>
      <c r="K93" s="59">
        <f t="shared" si="7"/>
        <v>0.387604070305273</v>
      </c>
    </row>
    <row r="94" spans="1:11">
      <c r="A94" s="7" t="s">
        <v>19</v>
      </c>
      <c r="B94" s="217">
        <v>0</v>
      </c>
      <c r="C94" s="260">
        <v>3.7999999999999999E-2</v>
      </c>
      <c r="D94" s="261">
        <v>0.02</v>
      </c>
      <c r="E94" s="73">
        <f t="shared" si="4"/>
        <v>-1</v>
      </c>
      <c r="F94" s="59">
        <f t="shared" si="5"/>
        <v>-1</v>
      </c>
      <c r="G94" s="253">
        <f>B94+Oct!G94</f>
        <v>1.3</v>
      </c>
      <c r="H94" s="253">
        <f>C94+Oct!H94</f>
        <v>0.91200000000000003</v>
      </c>
      <c r="I94" s="257">
        <v>1.226</v>
      </c>
      <c r="J94" s="58">
        <f t="shared" si="6"/>
        <v>0.42543859649122817</v>
      </c>
      <c r="K94" s="59">
        <f t="shared" si="7"/>
        <v>6.0358890701468271E-2</v>
      </c>
    </row>
    <row r="95" spans="1:11">
      <c r="A95" s="7"/>
      <c r="B95" s="217"/>
      <c r="C95" s="260">
        <v>0</v>
      </c>
      <c r="D95" s="261">
        <v>0</v>
      </c>
      <c r="E95" s="73"/>
      <c r="F95" s="59"/>
      <c r="G95" s="253"/>
      <c r="H95" s="253"/>
      <c r="I95" s="257">
        <v>0</v>
      </c>
      <c r="J95" s="58"/>
      <c r="K95" s="59"/>
    </row>
    <row r="96" spans="1:11" ht="13.5" thickBot="1">
      <c r="A96" s="9" t="s">
        <v>79</v>
      </c>
      <c r="B96" s="312">
        <v>0.6</v>
      </c>
      <c r="C96" s="262">
        <v>0.57699999999999996</v>
      </c>
      <c r="D96" s="263">
        <v>0.57299999999999995</v>
      </c>
      <c r="E96" s="74">
        <f t="shared" si="4"/>
        <v>3.9861351819757473E-2</v>
      </c>
      <c r="F96" s="61">
        <f t="shared" si="5"/>
        <v>4.7120418848167533E-2</v>
      </c>
      <c r="G96" s="253">
        <f>B96+Oct!G96</f>
        <v>9</v>
      </c>
      <c r="H96" s="253">
        <f>C96+Oct!H96</f>
        <v>11.593999999999999</v>
      </c>
      <c r="I96" s="257">
        <v>8.6649999999999991</v>
      </c>
      <c r="J96" s="60">
        <f t="shared" si="6"/>
        <v>-0.22373641538726918</v>
      </c>
      <c r="K96" s="61">
        <f t="shared" si="7"/>
        <v>3.8661281015579974E-2</v>
      </c>
    </row>
  </sheetData>
  <mergeCells count="4">
    <mergeCell ref="B3:D3"/>
    <mergeCell ref="E3:F3"/>
    <mergeCell ref="G3:I3"/>
    <mergeCell ref="J3:K3"/>
  </mergeCells>
  <conditionalFormatting sqref="E5:F96">
    <cfRule type="cellIs" dxfId="15" priority="5" operator="lessThan">
      <formula>0</formula>
    </cfRule>
    <cfRule type="cellIs" dxfId="14" priority="6" operator="greaterThan">
      <formula>0</formula>
    </cfRule>
    <cfRule type="cellIs" dxfId="13" priority="7" operator="greaterThan">
      <formula>0</formula>
    </cfRule>
    <cfRule type="cellIs" dxfId="12" priority="8" operator="lessThan">
      <formula>0</formula>
    </cfRule>
  </conditionalFormatting>
  <conditionalFormatting sqref="J5:K96">
    <cfRule type="cellIs" dxfId="11" priority="1" operator="lessThan">
      <formula>0</formula>
    </cfRule>
    <cfRule type="cellIs" dxfId="10" priority="2" operator="greaterThan">
      <formula>0</formula>
    </cfRule>
    <cfRule type="cellIs" dxfId="9" priority="3" operator="greaterThan">
      <formula>0</formula>
    </cfRule>
    <cfRule type="cellIs" dxfId="8" priority="4" operator="lessThan">
      <formula>0</formula>
    </cfRule>
  </conditionalFormatting>
  <pageMargins left="0.7" right="0.7" top="0.75" bottom="0.75" header="0.3" footer="0.3"/>
  <pageSetup paperSize="9" scale="87" orientation="portrait" r:id="rId1"/>
  <rowBreaks count="1" manualBreakCount="1">
    <brk id="5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97"/>
  <sheetViews>
    <sheetView zoomScale="85" zoomScaleNormal="85" workbookViewId="0">
      <selection activeCell="B5" sqref="B5:B96"/>
    </sheetView>
  </sheetViews>
  <sheetFormatPr defaultColWidth="9" defaultRowHeight="12.75"/>
  <cols>
    <col min="1" max="1" width="26.28515625" style="62" customWidth="1"/>
    <col min="2" max="2" width="10.85546875" style="127" customWidth="1"/>
    <col min="3" max="3" width="9" style="62" bestFit="1" customWidth="1"/>
    <col min="4" max="4" width="8" style="62" bestFit="1" customWidth="1"/>
    <col min="5" max="6" width="6.5703125" style="62" bestFit="1" customWidth="1"/>
    <col min="7" max="7" width="10.28515625" style="62" customWidth="1"/>
    <col min="8" max="9" width="9.28515625" style="62" bestFit="1" customWidth="1"/>
    <col min="10" max="11" width="6.5703125" style="62" bestFit="1" customWidth="1"/>
    <col min="12" max="16384" width="9" style="62"/>
  </cols>
  <sheetData>
    <row r="1" spans="1:11">
      <c r="A1" s="8" t="s">
        <v>129</v>
      </c>
      <c r="B1" s="126"/>
      <c r="J1" s="1"/>
    </row>
    <row r="2" spans="1:11" ht="13.5" thickBot="1">
      <c r="A2" s="1" t="s">
        <v>237</v>
      </c>
      <c r="C2" s="63"/>
      <c r="D2" s="63"/>
      <c r="G2" s="63"/>
      <c r="H2" s="63"/>
      <c r="I2" s="63"/>
    </row>
    <row r="3" spans="1:11" ht="13.5" thickBot="1">
      <c r="A3" s="129"/>
      <c r="B3" s="336" t="s">
        <v>108</v>
      </c>
      <c r="C3" s="337"/>
      <c r="D3" s="338"/>
      <c r="E3" s="336" t="s">
        <v>0</v>
      </c>
      <c r="F3" s="338"/>
      <c r="G3" s="336" t="s">
        <v>109</v>
      </c>
      <c r="H3" s="337"/>
      <c r="I3" s="338"/>
      <c r="J3" s="336" t="s">
        <v>0</v>
      </c>
      <c r="K3" s="338"/>
    </row>
    <row r="4" spans="1:11">
      <c r="A4" s="131"/>
      <c r="B4" s="272">
        <v>2017</v>
      </c>
      <c r="C4" s="132">
        <v>2016</v>
      </c>
      <c r="D4" s="133">
        <v>2015</v>
      </c>
      <c r="E4" s="134" t="s">
        <v>214</v>
      </c>
      <c r="F4" s="134" t="s">
        <v>214</v>
      </c>
      <c r="G4" s="134">
        <v>2017</v>
      </c>
      <c r="H4" s="134">
        <v>2016</v>
      </c>
      <c r="I4" s="133">
        <v>2015</v>
      </c>
      <c r="J4" s="134" t="s">
        <v>214</v>
      </c>
      <c r="K4" s="135" t="s">
        <v>215</v>
      </c>
    </row>
    <row r="5" spans="1:11">
      <c r="A5" s="136" t="s">
        <v>1</v>
      </c>
      <c r="B5" s="274"/>
      <c r="C5" s="264">
        <v>248.554</v>
      </c>
      <c r="D5" s="265">
        <v>197.23</v>
      </c>
      <c r="E5" s="130">
        <f>B5/C5-1</f>
        <v>-1</v>
      </c>
      <c r="F5" s="130">
        <f>B5/D5-1</f>
        <v>-1</v>
      </c>
      <c r="G5" s="269">
        <f>$B5+Nov!G5</f>
        <v>3321.9000000000005</v>
      </c>
      <c r="H5" s="269">
        <f>$B5+Nov!H5</f>
        <v>2652.5169999999998</v>
      </c>
      <c r="I5" s="243">
        <v>2799.5010000000002</v>
      </c>
      <c r="J5" s="130">
        <f>G5/H5-1</f>
        <v>0.25235766632221424</v>
      </c>
      <c r="K5" s="65">
        <f>G5/I5-1</f>
        <v>0.18660432698541651</v>
      </c>
    </row>
    <row r="6" spans="1:11">
      <c r="A6" s="136" t="s">
        <v>2</v>
      </c>
      <c r="B6" s="274"/>
      <c r="C6" s="264">
        <v>28.175999999999998</v>
      </c>
      <c r="D6" s="265">
        <v>18.914999999999999</v>
      </c>
      <c r="E6" s="130">
        <f t="shared" ref="E6:E69" si="0">B6/C6-1</f>
        <v>-1</v>
      </c>
      <c r="F6" s="130">
        <f t="shared" ref="F6:F69" si="1">B6/D6-1</f>
        <v>-1</v>
      </c>
      <c r="G6" s="269">
        <f>$B6+Nov!G6</f>
        <v>399.4</v>
      </c>
      <c r="H6" s="269">
        <f>$B6+Nov!H6</f>
        <v>276.59399999999999</v>
      </c>
      <c r="I6" s="243">
        <v>245.79</v>
      </c>
      <c r="J6" s="130">
        <f t="shared" ref="J6:J69" si="2">G6/H6-1</f>
        <v>0.44399372365271828</v>
      </c>
      <c r="K6" s="65">
        <f t="shared" ref="K6:K69" si="3">G6/I6-1</f>
        <v>0.62496440050449564</v>
      </c>
    </row>
    <row r="7" spans="1:11">
      <c r="A7" s="136"/>
      <c r="B7" s="274"/>
      <c r="C7" s="264">
        <v>0</v>
      </c>
      <c r="D7" s="265">
        <v>0</v>
      </c>
      <c r="E7" s="130"/>
      <c r="F7" s="130"/>
      <c r="G7" s="269">
        <f>$B7+Nov!G7</f>
        <v>0</v>
      </c>
      <c r="H7" s="269">
        <f>$B7+Nov!H7</f>
        <v>0</v>
      </c>
      <c r="I7" s="243">
        <v>0</v>
      </c>
      <c r="J7" s="130"/>
      <c r="K7" s="65"/>
    </row>
    <row r="8" spans="1:11">
      <c r="A8" s="136" t="s">
        <v>3</v>
      </c>
      <c r="B8" s="274"/>
      <c r="C8" s="264">
        <v>22.783999999999999</v>
      </c>
      <c r="D8" s="265">
        <v>15.102</v>
      </c>
      <c r="E8" s="130">
        <f t="shared" si="0"/>
        <v>-1</v>
      </c>
      <c r="F8" s="130">
        <f t="shared" si="1"/>
        <v>-1</v>
      </c>
      <c r="G8" s="269">
        <f>$B8+Nov!G8</f>
        <v>301.70000000000005</v>
      </c>
      <c r="H8" s="269">
        <f>$B8+Nov!H8</f>
        <v>210.33600000000004</v>
      </c>
      <c r="I8" s="243">
        <v>179.23500000000001</v>
      </c>
      <c r="J8" s="130">
        <f t="shared" si="2"/>
        <v>0.4343716719914803</v>
      </c>
      <c r="K8" s="65">
        <f t="shared" si="3"/>
        <v>0.68326498730716678</v>
      </c>
    </row>
    <row r="9" spans="1:11">
      <c r="A9" s="136" t="s">
        <v>4</v>
      </c>
      <c r="B9" s="274"/>
      <c r="C9" s="264">
        <v>2.504</v>
      </c>
      <c r="D9" s="265">
        <v>2.1030000000000002</v>
      </c>
      <c r="E9" s="130">
        <f t="shared" si="0"/>
        <v>-1</v>
      </c>
      <c r="F9" s="130">
        <f t="shared" si="1"/>
        <v>-1</v>
      </c>
      <c r="G9" s="269">
        <f>$B9+Nov!G9</f>
        <v>54.4</v>
      </c>
      <c r="H9" s="269">
        <f>$B9+Nov!H9</f>
        <v>42.058999999999997</v>
      </c>
      <c r="I9" s="243">
        <v>39.328000000000003</v>
      </c>
      <c r="J9" s="130">
        <f t="shared" si="2"/>
        <v>0.29342114648470008</v>
      </c>
      <c r="K9" s="65">
        <f t="shared" si="3"/>
        <v>0.38323840520748553</v>
      </c>
    </row>
    <row r="10" spans="1:11">
      <c r="A10" s="136" t="s">
        <v>5</v>
      </c>
      <c r="B10" s="274"/>
      <c r="C10" s="264">
        <v>1.5820000000000001</v>
      </c>
      <c r="D10" s="265">
        <v>1.4179999999999999</v>
      </c>
      <c r="E10" s="130">
        <f t="shared" si="0"/>
        <v>-1</v>
      </c>
      <c r="F10" s="130">
        <f t="shared" si="1"/>
        <v>-1</v>
      </c>
      <c r="G10" s="269">
        <f>$B10+Nov!G10</f>
        <v>7.6999999999999993</v>
      </c>
      <c r="H10" s="269">
        <f>$B10+Nov!H10</f>
        <v>5.8620000000000001</v>
      </c>
      <c r="I10" s="243">
        <v>5.51</v>
      </c>
      <c r="J10" s="130">
        <f t="shared" si="2"/>
        <v>0.3135448652337085</v>
      </c>
      <c r="K10" s="65">
        <f t="shared" si="3"/>
        <v>0.39745916515426494</v>
      </c>
    </row>
    <row r="11" spans="1:11">
      <c r="A11" s="136" t="s">
        <v>6</v>
      </c>
      <c r="B11" s="274"/>
      <c r="C11" s="264">
        <v>3.395</v>
      </c>
      <c r="D11" s="265">
        <v>2.706</v>
      </c>
      <c r="E11" s="130">
        <f t="shared" si="0"/>
        <v>-1</v>
      </c>
      <c r="F11" s="130">
        <f t="shared" si="1"/>
        <v>-1</v>
      </c>
      <c r="G11" s="269">
        <f>$B11+Nov!G11</f>
        <v>32.1</v>
      </c>
      <c r="H11" s="269">
        <f>$B11+Nov!H11</f>
        <v>19.356000000000002</v>
      </c>
      <c r="I11" s="243">
        <v>22.016999999999999</v>
      </c>
      <c r="J11" s="130">
        <f t="shared" si="2"/>
        <v>0.65840049597024164</v>
      </c>
      <c r="K11" s="65">
        <f t="shared" si="3"/>
        <v>0.45796430031339419</v>
      </c>
    </row>
    <row r="12" spans="1:11">
      <c r="A12" s="136" t="s">
        <v>86</v>
      </c>
      <c r="B12" s="274"/>
      <c r="C12" s="264">
        <v>0.67500000000000004</v>
      </c>
      <c r="D12" s="265">
        <v>0.38400000000000001</v>
      </c>
      <c r="E12" s="130">
        <f t="shared" si="0"/>
        <v>-1</v>
      </c>
      <c r="F12" s="130">
        <f t="shared" si="1"/>
        <v>-1</v>
      </c>
      <c r="G12" s="269">
        <f>$B12+Nov!G12</f>
        <v>7.8</v>
      </c>
      <c r="H12" s="269">
        <f>$B12+Nov!H12</f>
        <v>4.6229999999999993</v>
      </c>
      <c r="I12" s="243">
        <v>4.3090000000000002</v>
      </c>
      <c r="J12" s="130">
        <f t="shared" si="2"/>
        <v>0.68721609344581469</v>
      </c>
      <c r="K12" s="65">
        <f t="shared" si="3"/>
        <v>0.81016477140867948</v>
      </c>
    </row>
    <row r="13" spans="1:11">
      <c r="A13" s="136" t="s">
        <v>8</v>
      </c>
      <c r="B13" s="274"/>
      <c r="C13" s="264">
        <v>7.4660000000000002</v>
      </c>
      <c r="D13" s="265">
        <v>3.12</v>
      </c>
      <c r="E13" s="130">
        <f t="shared" si="0"/>
        <v>-1</v>
      </c>
      <c r="F13" s="130">
        <f t="shared" si="1"/>
        <v>-1</v>
      </c>
      <c r="G13" s="269">
        <f>$B13+Nov!G13</f>
        <v>105.10000000000001</v>
      </c>
      <c r="H13" s="269">
        <f>$B13+Nov!H13</f>
        <v>71.801999999999992</v>
      </c>
      <c r="I13" s="243">
        <v>47.006999999999998</v>
      </c>
      <c r="J13" s="130">
        <f t="shared" si="2"/>
        <v>0.46374752792401353</v>
      </c>
      <c r="K13" s="65">
        <f t="shared" si="3"/>
        <v>1.2358372157338273</v>
      </c>
    </row>
    <row r="14" spans="1:11">
      <c r="A14" s="136" t="s">
        <v>9</v>
      </c>
      <c r="B14" s="274"/>
      <c r="C14" s="264">
        <v>1.1930000000000001</v>
      </c>
      <c r="D14" s="265">
        <v>0.82899999999999996</v>
      </c>
      <c r="E14" s="130">
        <f t="shared" si="0"/>
        <v>-1</v>
      </c>
      <c r="F14" s="130">
        <f t="shared" si="1"/>
        <v>-1</v>
      </c>
      <c r="G14" s="269">
        <f>$B14+Nov!G14</f>
        <v>15.4</v>
      </c>
      <c r="H14" s="269">
        <f>$B14+Nov!H14</f>
        <v>10.698</v>
      </c>
      <c r="I14" s="243">
        <v>9.984</v>
      </c>
      <c r="J14" s="130">
        <f t="shared" si="2"/>
        <v>0.43952140587025612</v>
      </c>
      <c r="K14" s="65">
        <f t="shared" si="3"/>
        <v>0.54246794871794868</v>
      </c>
    </row>
    <row r="15" spans="1:11">
      <c r="A15" s="136" t="s">
        <v>10</v>
      </c>
      <c r="B15" s="274"/>
      <c r="C15" s="264">
        <v>0.37</v>
      </c>
      <c r="D15" s="265">
        <v>0.26500000000000001</v>
      </c>
      <c r="E15" s="130">
        <f t="shared" si="0"/>
        <v>-1</v>
      </c>
      <c r="F15" s="130">
        <f t="shared" si="1"/>
        <v>-1</v>
      </c>
      <c r="G15" s="269">
        <f>$B15+Nov!G15</f>
        <v>8.9000000000000021</v>
      </c>
      <c r="H15" s="269">
        <f>$B15+Nov!H15</f>
        <v>5.9799999999999986</v>
      </c>
      <c r="I15" s="243">
        <v>5.6040000000000001</v>
      </c>
      <c r="J15" s="130">
        <f t="shared" si="2"/>
        <v>0.48829431438127169</v>
      </c>
      <c r="K15" s="65">
        <f t="shared" si="3"/>
        <v>0.58815132048536789</v>
      </c>
    </row>
    <row r="16" spans="1:11">
      <c r="A16" s="136" t="s">
        <v>11</v>
      </c>
      <c r="B16" s="274"/>
      <c r="C16" s="264">
        <v>1.24</v>
      </c>
      <c r="D16" s="265">
        <v>1.0669999999999999</v>
      </c>
      <c r="E16" s="130">
        <f t="shared" si="0"/>
        <v>-1</v>
      </c>
      <c r="F16" s="130">
        <f t="shared" si="1"/>
        <v>-1</v>
      </c>
      <c r="G16" s="269">
        <f>$B16+Nov!G16</f>
        <v>37.799999999999997</v>
      </c>
      <c r="H16" s="269">
        <f>$B16+Nov!H16</f>
        <v>26.549999999999997</v>
      </c>
      <c r="I16" s="243">
        <v>22.334</v>
      </c>
      <c r="J16" s="130">
        <f t="shared" si="2"/>
        <v>0.42372881355932202</v>
      </c>
      <c r="K16" s="65">
        <f t="shared" si="3"/>
        <v>0.69248679143906133</v>
      </c>
    </row>
    <row r="17" spans="1:11">
      <c r="A17" s="136" t="s">
        <v>12</v>
      </c>
      <c r="B17" s="274"/>
      <c r="C17" s="264">
        <v>2.9729999999999999</v>
      </c>
      <c r="D17" s="265">
        <v>2.4329999999999998</v>
      </c>
      <c r="E17" s="130">
        <f t="shared" si="0"/>
        <v>-1</v>
      </c>
      <c r="F17" s="130">
        <f t="shared" si="1"/>
        <v>-1</v>
      </c>
      <c r="G17" s="269">
        <f>$B17+Nov!G17</f>
        <v>9.5999999999999979</v>
      </c>
      <c r="H17" s="269">
        <f>$B17+Nov!H17</f>
        <v>8.2769999999999992</v>
      </c>
      <c r="I17" s="243">
        <v>9.7379999999999995</v>
      </c>
      <c r="J17" s="130">
        <f t="shared" si="2"/>
        <v>0.15984052192823461</v>
      </c>
      <c r="K17" s="65">
        <f t="shared" si="3"/>
        <v>-1.4171287738755534E-2</v>
      </c>
    </row>
    <row r="18" spans="1:11">
      <c r="A18" s="136" t="s">
        <v>13</v>
      </c>
      <c r="B18" s="274"/>
      <c r="C18" s="264">
        <v>0.26100000000000001</v>
      </c>
      <c r="D18" s="265">
        <v>0.10299999999999999</v>
      </c>
      <c r="E18" s="130">
        <f t="shared" si="0"/>
        <v>-1</v>
      </c>
      <c r="F18" s="130">
        <f t="shared" si="1"/>
        <v>-1</v>
      </c>
      <c r="G18" s="269">
        <f>$B18+Nov!G18</f>
        <v>2.6</v>
      </c>
      <c r="H18" s="269">
        <f>$B18+Nov!H18</f>
        <v>2.0590000000000002</v>
      </c>
      <c r="I18" s="243">
        <v>2.27</v>
      </c>
      <c r="J18" s="130">
        <f t="shared" si="2"/>
        <v>0.26274890723652256</v>
      </c>
      <c r="K18" s="65">
        <f t="shared" si="3"/>
        <v>0.14537444933920707</v>
      </c>
    </row>
    <row r="19" spans="1:11">
      <c r="A19" s="136" t="s">
        <v>14</v>
      </c>
      <c r="B19" s="274"/>
      <c r="C19" s="264">
        <v>1.125</v>
      </c>
      <c r="D19" s="265">
        <v>0.67400000000000004</v>
      </c>
      <c r="E19" s="130">
        <f t="shared" si="0"/>
        <v>-1</v>
      </c>
      <c r="F19" s="130">
        <f t="shared" si="1"/>
        <v>-1</v>
      </c>
      <c r="G19" s="269">
        <f>$B19+Nov!G19</f>
        <v>20.3</v>
      </c>
      <c r="H19" s="269">
        <f>$B19+Nov!H19</f>
        <v>13.069999999999999</v>
      </c>
      <c r="I19" s="243">
        <v>11.134</v>
      </c>
      <c r="J19" s="130">
        <f t="shared" si="2"/>
        <v>0.55317521040550899</v>
      </c>
      <c r="K19" s="65">
        <f t="shared" si="3"/>
        <v>0.82324411711873546</v>
      </c>
    </row>
    <row r="20" spans="1:11">
      <c r="A20" s="136"/>
      <c r="B20" s="274"/>
      <c r="C20" s="264">
        <v>0</v>
      </c>
      <c r="D20" s="265">
        <v>0</v>
      </c>
      <c r="E20" s="130"/>
      <c r="F20" s="130"/>
      <c r="G20" s="269">
        <f>$B20+Nov!G20</f>
        <v>0</v>
      </c>
      <c r="H20" s="269">
        <f>$B20+Nov!H20</f>
        <v>0</v>
      </c>
      <c r="I20" s="243">
        <v>0</v>
      </c>
      <c r="J20" s="130"/>
      <c r="K20" s="65"/>
    </row>
    <row r="21" spans="1:11">
      <c r="A21" s="136" t="s">
        <v>15</v>
      </c>
      <c r="B21" s="274"/>
      <c r="C21" s="264">
        <v>5.3920000000000003</v>
      </c>
      <c r="D21" s="265">
        <v>3.8130000000000002</v>
      </c>
      <c r="E21" s="130">
        <f t="shared" si="0"/>
        <v>-1</v>
      </c>
      <c r="F21" s="130">
        <f t="shared" si="1"/>
        <v>-1</v>
      </c>
      <c r="G21" s="269">
        <f>$B21+Nov!G21</f>
        <v>70.8</v>
      </c>
      <c r="H21" s="269">
        <f>$B21+Nov!H21</f>
        <v>66.257999999999996</v>
      </c>
      <c r="I21" s="243">
        <v>66.555000000000007</v>
      </c>
      <c r="J21" s="130">
        <f t="shared" si="2"/>
        <v>6.8550212804491473E-2</v>
      </c>
      <c r="K21" s="65">
        <f t="shared" si="3"/>
        <v>6.3781834572909535E-2</v>
      </c>
    </row>
    <row r="22" spans="1:11">
      <c r="A22" s="136" t="s">
        <v>16</v>
      </c>
      <c r="B22" s="274"/>
      <c r="C22" s="264">
        <v>0.34200000000000003</v>
      </c>
      <c r="D22" s="265">
        <v>0.27900000000000003</v>
      </c>
      <c r="E22" s="130">
        <f t="shared" si="0"/>
        <v>-1</v>
      </c>
      <c r="F22" s="130">
        <f t="shared" si="1"/>
        <v>-1</v>
      </c>
      <c r="G22" s="269">
        <f>$B22+Nov!G22</f>
        <v>7.7000000000000011</v>
      </c>
      <c r="H22" s="269">
        <f>$B22+Nov!H22</f>
        <v>5.169999999999999</v>
      </c>
      <c r="I22" s="243">
        <v>5.3310000000000004</v>
      </c>
      <c r="J22" s="130">
        <f t="shared" si="2"/>
        <v>0.48936170212765995</v>
      </c>
      <c r="K22" s="65">
        <f t="shared" si="3"/>
        <v>0.44438191708872643</v>
      </c>
    </row>
    <row r="23" spans="1:11">
      <c r="A23" s="136" t="s">
        <v>17</v>
      </c>
      <c r="B23" s="274"/>
      <c r="C23" s="264">
        <v>2.964</v>
      </c>
      <c r="D23" s="265">
        <v>1.593</v>
      </c>
      <c r="E23" s="130">
        <f t="shared" si="0"/>
        <v>-1</v>
      </c>
      <c r="F23" s="130">
        <f t="shared" si="1"/>
        <v>-1</v>
      </c>
      <c r="G23" s="269">
        <f>$B23+Nov!G23</f>
        <v>36.799999999999997</v>
      </c>
      <c r="H23" s="269">
        <f>$B23+Nov!H23</f>
        <v>30.990000000000002</v>
      </c>
      <c r="I23" s="243">
        <v>25.699000000000002</v>
      </c>
      <c r="J23" s="130">
        <f t="shared" si="2"/>
        <v>0.1874798322039366</v>
      </c>
      <c r="K23" s="65">
        <f t="shared" si="3"/>
        <v>0.43196233316471444</v>
      </c>
    </row>
    <row r="24" spans="1:11">
      <c r="A24" s="136" t="s">
        <v>18</v>
      </c>
      <c r="B24" s="274"/>
      <c r="C24" s="264">
        <v>1.2370000000000001</v>
      </c>
      <c r="D24" s="265">
        <v>0.88500000000000001</v>
      </c>
      <c r="E24" s="130">
        <f t="shared" si="0"/>
        <v>-1</v>
      </c>
      <c r="F24" s="130">
        <f t="shared" si="1"/>
        <v>-1</v>
      </c>
      <c r="G24" s="269">
        <f>$B24+Nov!G24</f>
        <v>14.1</v>
      </c>
      <c r="H24" s="269">
        <f>$B24+Nov!H24</f>
        <v>17.727999999999998</v>
      </c>
      <c r="I24" s="243">
        <v>21.437999999999999</v>
      </c>
      <c r="J24" s="130">
        <f t="shared" si="2"/>
        <v>-0.20464801444043312</v>
      </c>
      <c r="K24" s="65">
        <f t="shared" si="3"/>
        <v>-0.34228939266722636</v>
      </c>
    </row>
    <row r="25" spans="1:11">
      <c r="A25" s="136" t="s">
        <v>19</v>
      </c>
      <c r="B25" s="274"/>
      <c r="C25" s="264">
        <v>0.84899999999999998</v>
      </c>
      <c r="D25" s="265">
        <v>1.056</v>
      </c>
      <c r="E25" s="130">
        <f t="shared" si="0"/>
        <v>-1</v>
      </c>
      <c r="F25" s="130">
        <f t="shared" si="1"/>
        <v>-1</v>
      </c>
      <c r="G25" s="269">
        <f>$B25+Nov!G25</f>
        <v>12.200000000000003</v>
      </c>
      <c r="H25" s="269">
        <f>$B25+Nov!H25</f>
        <v>12.370000000000001</v>
      </c>
      <c r="I25" s="243">
        <v>14.087</v>
      </c>
      <c r="J25" s="130">
        <f t="shared" si="2"/>
        <v>-1.3742926434923031E-2</v>
      </c>
      <c r="K25" s="65">
        <f t="shared" si="3"/>
        <v>-0.13395329026762237</v>
      </c>
    </row>
    <row r="26" spans="1:11">
      <c r="A26" s="136"/>
      <c r="B26" s="274"/>
      <c r="C26" s="264">
        <v>0</v>
      </c>
      <c r="D26" s="265">
        <v>0</v>
      </c>
      <c r="E26" s="130"/>
      <c r="F26" s="130"/>
      <c r="G26" s="269">
        <f>$B26+Nov!G26</f>
        <v>0</v>
      </c>
      <c r="H26" s="269">
        <f>$B26+Nov!H26</f>
        <v>0</v>
      </c>
      <c r="I26" s="243">
        <v>0</v>
      </c>
      <c r="J26" s="130"/>
      <c r="K26" s="65"/>
    </row>
    <row r="27" spans="1:11">
      <c r="A27" s="136" t="s">
        <v>20</v>
      </c>
      <c r="B27" s="274"/>
      <c r="C27" s="264">
        <v>8.4819999999999993</v>
      </c>
      <c r="D27" s="265">
        <v>6.8209999999999997</v>
      </c>
      <c r="E27" s="130">
        <f t="shared" si="0"/>
        <v>-1</v>
      </c>
      <c r="F27" s="130">
        <f t="shared" si="1"/>
        <v>-1</v>
      </c>
      <c r="G27" s="269">
        <f>$B27+Nov!G27</f>
        <v>62.399999999999991</v>
      </c>
      <c r="H27" s="269">
        <f>$B27+Nov!H27</f>
        <v>54.588000000000001</v>
      </c>
      <c r="I27" s="243">
        <v>67.935000000000002</v>
      </c>
      <c r="J27" s="130">
        <f t="shared" si="2"/>
        <v>0.1431083754671354</v>
      </c>
      <c r="K27" s="65">
        <f t="shared" si="3"/>
        <v>-8.1474939280194447E-2</v>
      </c>
    </row>
    <row r="28" spans="1:11">
      <c r="A28" s="136" t="s">
        <v>21</v>
      </c>
      <c r="B28" s="274"/>
      <c r="C28" s="264">
        <v>3.06</v>
      </c>
      <c r="D28" s="265">
        <v>2.3380000000000001</v>
      </c>
      <c r="E28" s="130">
        <f t="shared" si="0"/>
        <v>-1</v>
      </c>
      <c r="F28" s="130">
        <f t="shared" si="1"/>
        <v>-1</v>
      </c>
      <c r="G28" s="269">
        <f>$B28+Nov!G28</f>
        <v>22.7</v>
      </c>
      <c r="H28" s="269">
        <f>$B28+Nov!H28</f>
        <v>17.719000000000005</v>
      </c>
      <c r="I28" s="243">
        <v>19.873000000000001</v>
      </c>
      <c r="J28" s="130">
        <f t="shared" si="2"/>
        <v>0.28111067215982799</v>
      </c>
      <c r="K28" s="65">
        <f t="shared" si="3"/>
        <v>0.14225330850903228</v>
      </c>
    </row>
    <row r="29" spans="1:11">
      <c r="A29" s="136" t="s">
        <v>22</v>
      </c>
      <c r="B29" s="274"/>
      <c r="C29" s="264">
        <v>0.13700000000000001</v>
      </c>
      <c r="D29" s="265">
        <v>0.112</v>
      </c>
      <c r="E29" s="130">
        <f t="shared" si="0"/>
        <v>-1</v>
      </c>
      <c r="F29" s="130">
        <f t="shared" si="1"/>
        <v>-1</v>
      </c>
      <c r="G29" s="269">
        <f>$B29+Nov!G29</f>
        <v>6.8</v>
      </c>
      <c r="H29" s="269">
        <f>$B29+Nov!H29</f>
        <v>8.6039999999999992</v>
      </c>
      <c r="I29" s="243">
        <v>6.1029999999999998</v>
      </c>
      <c r="J29" s="130">
        <f t="shared" si="2"/>
        <v>-0.209669920966992</v>
      </c>
      <c r="K29" s="65">
        <f t="shared" si="3"/>
        <v>0.11420612813370479</v>
      </c>
    </row>
    <row r="30" spans="1:11">
      <c r="A30" s="136" t="s">
        <v>23</v>
      </c>
      <c r="B30" s="274"/>
      <c r="C30" s="264">
        <v>0.22700000000000001</v>
      </c>
      <c r="D30" s="265">
        <v>0.23200000000000001</v>
      </c>
      <c r="E30" s="130">
        <f t="shared" si="0"/>
        <v>-1</v>
      </c>
      <c r="F30" s="130">
        <f t="shared" si="1"/>
        <v>-1</v>
      </c>
      <c r="G30" s="269">
        <f>$B30+Nov!G30</f>
        <v>2.8000000000000007</v>
      </c>
      <c r="H30" s="269">
        <f>$B30+Nov!H30</f>
        <v>2.6629999999999998</v>
      </c>
      <c r="I30" s="243">
        <v>3.1930000000000001</v>
      </c>
      <c r="J30" s="130">
        <f t="shared" si="2"/>
        <v>5.1445737889598497E-2</v>
      </c>
      <c r="K30" s="65">
        <f t="shared" si="3"/>
        <v>-0.12308174130911353</v>
      </c>
    </row>
    <row r="31" spans="1:11">
      <c r="A31" s="137" t="s">
        <v>24</v>
      </c>
      <c r="B31" s="274"/>
      <c r="C31" s="264">
        <v>2.952</v>
      </c>
      <c r="D31" s="265">
        <v>2.5019999999999998</v>
      </c>
      <c r="E31" s="130">
        <f t="shared" si="0"/>
        <v>-1</v>
      </c>
      <c r="F31" s="130">
        <f t="shared" si="1"/>
        <v>-1</v>
      </c>
      <c r="G31" s="269">
        <f>$B31+Nov!G31</f>
        <v>5.6999999999999993</v>
      </c>
      <c r="H31" s="269">
        <f>$B31+Nov!H31</f>
        <v>5.423</v>
      </c>
      <c r="I31" s="243">
        <v>16.315000000000001</v>
      </c>
      <c r="J31" s="130">
        <f t="shared" si="2"/>
        <v>5.1078738705513382E-2</v>
      </c>
      <c r="K31" s="65">
        <f t="shared" si="3"/>
        <v>-0.65062825620594555</v>
      </c>
    </row>
    <row r="32" spans="1:11">
      <c r="A32" s="137" t="s">
        <v>25</v>
      </c>
      <c r="B32" s="274"/>
      <c r="C32" s="264">
        <v>0.32100000000000001</v>
      </c>
      <c r="D32" s="265">
        <v>0.20499999999999999</v>
      </c>
      <c r="E32" s="130">
        <f t="shared" si="0"/>
        <v>-1</v>
      </c>
      <c r="F32" s="130">
        <f t="shared" si="1"/>
        <v>-1</v>
      </c>
      <c r="G32" s="269">
        <f>$B32+Nov!G32</f>
        <v>3.4000000000000004</v>
      </c>
      <c r="H32" s="269">
        <f>$B32+Nov!H32</f>
        <v>3.7320000000000002</v>
      </c>
      <c r="I32" s="243">
        <v>3.44</v>
      </c>
      <c r="J32" s="130">
        <f t="shared" si="2"/>
        <v>-8.8960342979635509E-2</v>
      </c>
      <c r="K32" s="65">
        <f t="shared" si="3"/>
        <v>-1.1627906976744096E-2</v>
      </c>
    </row>
    <row r="33" spans="1:11">
      <c r="A33" s="136" t="s">
        <v>19</v>
      </c>
      <c r="B33" s="274"/>
      <c r="C33" s="264">
        <v>1.7849999999999999</v>
      </c>
      <c r="D33" s="265">
        <v>1.4319999999999999</v>
      </c>
      <c r="E33" s="130">
        <f t="shared" si="0"/>
        <v>-1</v>
      </c>
      <c r="F33" s="130">
        <f t="shared" si="1"/>
        <v>-1</v>
      </c>
      <c r="G33" s="269">
        <f>$B33+Nov!G33</f>
        <v>20.9</v>
      </c>
      <c r="H33" s="269">
        <f>$B33+Nov!H33</f>
        <v>16.447000000000003</v>
      </c>
      <c r="I33" s="243">
        <v>19.010999999999999</v>
      </c>
      <c r="J33" s="130">
        <f t="shared" si="2"/>
        <v>0.27074846476561043</v>
      </c>
      <c r="K33" s="65">
        <f t="shared" si="3"/>
        <v>9.9363526379464551E-2</v>
      </c>
    </row>
    <row r="34" spans="1:11">
      <c r="A34" s="136"/>
      <c r="B34" s="274"/>
      <c r="C34" s="264">
        <v>0</v>
      </c>
      <c r="D34" s="265">
        <v>0</v>
      </c>
      <c r="E34" s="130"/>
      <c r="F34" s="130"/>
      <c r="G34" s="269">
        <f>$B34+Nov!G34</f>
        <v>0</v>
      </c>
      <c r="H34" s="269">
        <f>$B34+Nov!H34</f>
        <v>0</v>
      </c>
      <c r="I34" s="243">
        <v>0</v>
      </c>
      <c r="J34" s="130"/>
      <c r="K34" s="65"/>
    </row>
    <row r="35" spans="1:11">
      <c r="A35" s="136" t="s">
        <v>26</v>
      </c>
      <c r="B35" s="274"/>
      <c r="C35" s="264">
        <v>135.72800000000001</v>
      </c>
      <c r="D35" s="265">
        <v>106.501</v>
      </c>
      <c r="E35" s="130">
        <f t="shared" si="0"/>
        <v>-1</v>
      </c>
      <c r="F35" s="130">
        <f t="shared" si="1"/>
        <v>-1</v>
      </c>
      <c r="G35" s="269">
        <f>$B35+Nov!G35</f>
        <v>1862.8000000000002</v>
      </c>
      <c r="H35" s="269">
        <f>$B35+Nov!H35</f>
        <v>1519.7720000000002</v>
      </c>
      <c r="I35" s="243">
        <v>1633.9970000000001</v>
      </c>
      <c r="J35" s="130">
        <f t="shared" si="2"/>
        <v>0.22571017231532098</v>
      </c>
      <c r="K35" s="65">
        <f t="shared" si="3"/>
        <v>0.1400265728762049</v>
      </c>
    </row>
    <row r="36" spans="1:11">
      <c r="A36" s="136" t="s">
        <v>27</v>
      </c>
      <c r="B36" s="274"/>
      <c r="C36" s="264">
        <v>4.6479999999999997</v>
      </c>
      <c r="D36" s="265">
        <v>4.5970000000000004</v>
      </c>
      <c r="E36" s="130">
        <f t="shared" si="0"/>
        <v>-1</v>
      </c>
      <c r="F36" s="130">
        <f t="shared" si="1"/>
        <v>-1</v>
      </c>
      <c r="G36" s="269">
        <f>$B36+Nov!G36</f>
        <v>70.599999999999994</v>
      </c>
      <c r="H36" s="269">
        <f>$B36+Nov!H36</f>
        <v>60.978000000000002</v>
      </c>
      <c r="I36" s="243">
        <v>70.637</v>
      </c>
      <c r="J36" s="130">
        <f t="shared" si="2"/>
        <v>0.15779461445111331</v>
      </c>
      <c r="K36" s="65">
        <f t="shared" si="3"/>
        <v>-5.2380480484737202E-4</v>
      </c>
    </row>
    <row r="37" spans="1:11">
      <c r="A37" s="136" t="s">
        <v>28</v>
      </c>
      <c r="B37" s="274"/>
      <c r="C37" s="264">
        <v>1.431</v>
      </c>
      <c r="D37" s="265">
        <v>1.36</v>
      </c>
      <c r="E37" s="130">
        <f t="shared" si="0"/>
        <v>-1</v>
      </c>
      <c r="F37" s="130">
        <f t="shared" si="1"/>
        <v>-1</v>
      </c>
      <c r="G37" s="269">
        <f>$B37+Nov!G37</f>
        <v>14.100000000000001</v>
      </c>
      <c r="H37" s="269">
        <f>$B37+Nov!H37</f>
        <v>12.484</v>
      </c>
      <c r="I37" s="243">
        <v>12.743</v>
      </c>
      <c r="J37" s="130">
        <f t="shared" si="2"/>
        <v>0.12944569048381949</v>
      </c>
      <c r="K37" s="65">
        <f t="shared" si="3"/>
        <v>0.10648983755787489</v>
      </c>
    </row>
    <row r="38" spans="1:11">
      <c r="A38" s="136" t="s">
        <v>29</v>
      </c>
      <c r="B38" s="274"/>
      <c r="C38" s="264">
        <v>1.573</v>
      </c>
      <c r="D38" s="265">
        <v>1.3919999999999999</v>
      </c>
      <c r="E38" s="130">
        <f t="shared" si="0"/>
        <v>-1</v>
      </c>
      <c r="F38" s="130">
        <f t="shared" si="1"/>
        <v>-1</v>
      </c>
      <c r="G38" s="269">
        <f>$B38+Nov!G38</f>
        <v>25.2</v>
      </c>
      <c r="H38" s="269">
        <f>$B38+Nov!H38</f>
        <v>19.725000000000001</v>
      </c>
      <c r="I38" s="243">
        <v>23.934999999999999</v>
      </c>
      <c r="J38" s="130">
        <f t="shared" si="2"/>
        <v>0.27756653992395419</v>
      </c>
      <c r="K38" s="65">
        <f t="shared" si="3"/>
        <v>5.2851472738667304E-2</v>
      </c>
    </row>
    <row r="39" spans="1:11">
      <c r="A39" s="136" t="s">
        <v>30</v>
      </c>
      <c r="B39" s="274"/>
      <c r="C39" s="264">
        <v>0.54700000000000004</v>
      </c>
      <c r="D39" s="265">
        <v>0.53900000000000003</v>
      </c>
      <c r="E39" s="130">
        <f t="shared" si="0"/>
        <v>-1</v>
      </c>
      <c r="F39" s="130">
        <f t="shared" si="1"/>
        <v>-1</v>
      </c>
      <c r="G39" s="269">
        <f>$B39+Nov!G39</f>
        <v>13.2</v>
      </c>
      <c r="H39" s="269">
        <f>$B39+Nov!H39</f>
        <v>12.085000000000001</v>
      </c>
      <c r="I39" s="243">
        <v>13.958</v>
      </c>
      <c r="J39" s="130">
        <f t="shared" si="2"/>
        <v>9.2263136119155931E-2</v>
      </c>
      <c r="K39" s="65">
        <f t="shared" si="3"/>
        <v>-5.4305774466255952E-2</v>
      </c>
    </row>
    <row r="40" spans="1:11">
      <c r="A40" s="136" t="s">
        <v>31</v>
      </c>
      <c r="B40" s="274"/>
      <c r="C40" s="264">
        <v>1.097</v>
      </c>
      <c r="D40" s="265">
        <v>1.2729999999999999</v>
      </c>
      <c r="E40" s="130">
        <f t="shared" si="0"/>
        <v>-1</v>
      </c>
      <c r="F40" s="130">
        <f t="shared" si="1"/>
        <v>-1</v>
      </c>
      <c r="G40" s="269">
        <f>$B40+Nov!G40</f>
        <v>18.100000000000001</v>
      </c>
      <c r="H40" s="269">
        <f>$B40+Nov!H40</f>
        <v>16.423999999999999</v>
      </c>
      <c r="I40" s="243">
        <v>19.577000000000002</v>
      </c>
      <c r="J40" s="130">
        <f t="shared" si="2"/>
        <v>0.10204578665367769</v>
      </c>
      <c r="K40" s="65">
        <f t="shared" si="3"/>
        <v>-7.5445676048424226E-2</v>
      </c>
    </row>
    <row r="41" spans="1:11">
      <c r="A41" s="136" t="s">
        <v>32</v>
      </c>
      <c r="B41" s="274"/>
      <c r="C41" s="264">
        <v>13.24</v>
      </c>
      <c r="D41" s="265">
        <v>12.387</v>
      </c>
      <c r="E41" s="130">
        <f t="shared" si="0"/>
        <v>-1</v>
      </c>
      <c r="F41" s="130">
        <f t="shared" si="1"/>
        <v>-1</v>
      </c>
      <c r="G41" s="269">
        <f>$B41+Nov!G41</f>
        <v>185.00000000000003</v>
      </c>
      <c r="H41" s="269">
        <f>$B41+Nov!H41</f>
        <v>168.10600000000002</v>
      </c>
      <c r="I41" s="243">
        <v>174.59800000000001</v>
      </c>
      <c r="J41" s="130">
        <f t="shared" si="2"/>
        <v>0.10049611554614346</v>
      </c>
      <c r="K41" s="65">
        <f t="shared" si="3"/>
        <v>5.9576856550475954E-2</v>
      </c>
    </row>
    <row r="42" spans="1:11">
      <c r="A42" s="136" t="s">
        <v>33</v>
      </c>
      <c r="B42" s="274"/>
      <c r="C42" s="264">
        <v>0.77400000000000002</v>
      </c>
      <c r="D42" s="265">
        <v>0.51600000000000001</v>
      </c>
      <c r="E42" s="130">
        <f t="shared" si="0"/>
        <v>-1</v>
      </c>
      <c r="F42" s="130">
        <f t="shared" si="1"/>
        <v>-1</v>
      </c>
      <c r="G42" s="269">
        <f>$B42+Nov!G42</f>
        <v>9.2000000000000011</v>
      </c>
      <c r="H42" s="269">
        <f>$B42+Nov!H42</f>
        <v>9.5149999999999988</v>
      </c>
      <c r="I42" s="243">
        <v>8.1170000000000009</v>
      </c>
      <c r="J42" s="130">
        <f t="shared" si="2"/>
        <v>-3.310562270099815E-2</v>
      </c>
      <c r="K42" s="65">
        <f t="shared" si="3"/>
        <v>0.13342367869902683</v>
      </c>
    </row>
    <row r="43" spans="1:11">
      <c r="A43" s="136" t="s">
        <v>34</v>
      </c>
      <c r="B43" s="274"/>
      <c r="C43" s="264">
        <v>4.1399999999999997</v>
      </c>
      <c r="D43" s="265">
        <v>3.3109999999999999</v>
      </c>
      <c r="E43" s="130">
        <f t="shared" si="0"/>
        <v>-1</v>
      </c>
      <c r="F43" s="130">
        <f t="shared" si="1"/>
        <v>-1</v>
      </c>
      <c r="G43" s="269">
        <f>$B43+Nov!G43</f>
        <v>58.800000000000004</v>
      </c>
      <c r="H43" s="269">
        <f>$B43+Nov!H43</f>
        <v>46.041000000000004</v>
      </c>
      <c r="I43" s="243">
        <v>47.655000000000001</v>
      </c>
      <c r="J43" s="130">
        <f t="shared" si="2"/>
        <v>0.27712256467061969</v>
      </c>
      <c r="K43" s="65">
        <f t="shared" si="3"/>
        <v>0.2338684293358515</v>
      </c>
    </row>
    <row r="44" spans="1:11">
      <c r="A44" s="136" t="s">
        <v>35</v>
      </c>
      <c r="B44" s="274"/>
      <c r="C44" s="264">
        <v>2.883</v>
      </c>
      <c r="D44" s="266">
        <v>2.5739999999999998</v>
      </c>
      <c r="E44" s="130">
        <f t="shared" si="0"/>
        <v>-1</v>
      </c>
      <c r="F44" s="130">
        <f t="shared" si="1"/>
        <v>-1</v>
      </c>
      <c r="G44" s="269">
        <f>$B44+Nov!G44</f>
        <v>33.4</v>
      </c>
      <c r="H44" s="269">
        <f>$B44+Nov!H44</f>
        <v>30.230999999999998</v>
      </c>
      <c r="I44" s="243">
        <v>32.606999999999999</v>
      </c>
      <c r="J44" s="130">
        <f t="shared" si="2"/>
        <v>0.10482617181039333</v>
      </c>
      <c r="K44" s="65">
        <f t="shared" si="3"/>
        <v>2.43199313030944E-2</v>
      </c>
    </row>
    <row r="45" spans="1:11">
      <c r="A45" s="137" t="s">
        <v>36</v>
      </c>
      <c r="B45" s="274"/>
      <c r="C45" s="264">
        <v>24.529</v>
      </c>
      <c r="D45" s="266">
        <v>21.803000000000001</v>
      </c>
      <c r="E45" s="130">
        <f t="shared" si="0"/>
        <v>-1</v>
      </c>
      <c r="F45" s="130">
        <f t="shared" si="1"/>
        <v>-1</v>
      </c>
      <c r="G45" s="269">
        <f>$B45+Nov!G45</f>
        <v>284.5</v>
      </c>
      <c r="H45" s="269">
        <f>$B45+Nov!H45</f>
        <v>262.92099999999999</v>
      </c>
      <c r="I45" s="243">
        <v>293.67099999999999</v>
      </c>
      <c r="J45" s="130">
        <f t="shared" si="2"/>
        <v>8.2074083089597183E-2</v>
      </c>
      <c r="K45" s="65">
        <f t="shared" si="3"/>
        <v>-3.1228824092266461E-2</v>
      </c>
    </row>
    <row r="46" spans="1:11">
      <c r="A46" s="137" t="s">
        <v>37</v>
      </c>
      <c r="B46" s="274"/>
      <c r="C46" s="264">
        <v>10.694000000000001</v>
      </c>
      <c r="D46" s="266">
        <v>6.9720000000000004</v>
      </c>
      <c r="E46" s="130">
        <f t="shared" si="0"/>
        <v>-1</v>
      </c>
      <c r="F46" s="130">
        <f t="shared" si="1"/>
        <v>-1</v>
      </c>
      <c r="G46" s="269">
        <f>$B46+Nov!G46</f>
        <v>93.699999999999989</v>
      </c>
      <c r="H46" s="269">
        <f>$B46+Nov!H46</f>
        <v>71.507000000000005</v>
      </c>
      <c r="I46" s="243">
        <v>84.415000000000006</v>
      </c>
      <c r="J46" s="130">
        <f t="shared" si="2"/>
        <v>0.31036122337673211</v>
      </c>
      <c r="K46" s="65">
        <f t="shared" si="3"/>
        <v>0.1099922999466918</v>
      </c>
    </row>
    <row r="47" spans="1:11">
      <c r="A47" s="136" t="s">
        <v>38</v>
      </c>
      <c r="B47" s="274"/>
      <c r="C47" s="264">
        <v>3.157</v>
      </c>
      <c r="D47" s="266">
        <v>2.637</v>
      </c>
      <c r="E47" s="130">
        <f t="shared" si="0"/>
        <v>-1</v>
      </c>
      <c r="F47" s="130">
        <f t="shared" si="1"/>
        <v>-1</v>
      </c>
      <c r="G47" s="269">
        <f>$B47+Nov!G47</f>
        <v>45.3</v>
      </c>
      <c r="H47" s="269">
        <f>$B47+Nov!H47</f>
        <v>38.158999999999999</v>
      </c>
      <c r="I47" s="243">
        <v>38.133000000000003</v>
      </c>
      <c r="J47" s="130">
        <f t="shared" si="2"/>
        <v>0.18713802772609345</v>
      </c>
      <c r="K47" s="65">
        <f t="shared" si="3"/>
        <v>0.18794744709306888</v>
      </c>
    </row>
    <row r="48" spans="1:11">
      <c r="A48" s="136" t="s">
        <v>39</v>
      </c>
      <c r="B48" s="274"/>
      <c r="C48" s="264">
        <v>12.728</v>
      </c>
      <c r="D48" s="266">
        <v>10.497999999999999</v>
      </c>
      <c r="E48" s="130">
        <f t="shared" si="0"/>
        <v>-1</v>
      </c>
      <c r="F48" s="130">
        <f t="shared" si="1"/>
        <v>-1</v>
      </c>
      <c r="G48" s="269">
        <f>$B48+Nov!G48</f>
        <v>202.29999999999998</v>
      </c>
      <c r="H48" s="269">
        <f>$B48+Nov!H48</f>
        <v>151.34800000000001</v>
      </c>
      <c r="I48" s="243">
        <v>159.767</v>
      </c>
      <c r="J48" s="130">
        <f t="shared" si="2"/>
        <v>0.33665459735179826</v>
      </c>
      <c r="K48" s="65">
        <f t="shared" si="3"/>
        <v>0.26621893131873287</v>
      </c>
    </row>
    <row r="49" spans="1:11">
      <c r="A49" s="136" t="s">
        <v>40</v>
      </c>
      <c r="B49" s="274"/>
      <c r="C49" s="264">
        <v>2.0670000000000002</v>
      </c>
      <c r="D49" s="266">
        <v>1.7450000000000001</v>
      </c>
      <c r="E49" s="130">
        <f t="shared" si="0"/>
        <v>-1</v>
      </c>
      <c r="F49" s="130">
        <f t="shared" si="1"/>
        <v>-1</v>
      </c>
      <c r="G49" s="269">
        <f>$B49+Nov!G49</f>
        <v>26.700000000000006</v>
      </c>
      <c r="H49" s="269">
        <f>$B49+Nov!H49</f>
        <v>21.962</v>
      </c>
      <c r="I49" s="243">
        <v>22.945</v>
      </c>
      <c r="J49" s="130">
        <f t="shared" si="2"/>
        <v>0.21573627174210031</v>
      </c>
      <c r="K49" s="65">
        <f t="shared" si="3"/>
        <v>0.16365221181085232</v>
      </c>
    </row>
    <row r="50" spans="1:11">
      <c r="A50" s="137" t="s">
        <v>41</v>
      </c>
      <c r="B50" s="274"/>
      <c r="C50" s="264">
        <v>4.774</v>
      </c>
      <c r="D50" s="266">
        <v>2.9660000000000002</v>
      </c>
      <c r="E50" s="130">
        <f t="shared" si="0"/>
        <v>-1</v>
      </c>
      <c r="F50" s="130">
        <f t="shared" si="1"/>
        <v>-1</v>
      </c>
      <c r="G50" s="269">
        <f>$B50+Nov!G50</f>
        <v>55.400000000000006</v>
      </c>
      <c r="H50" s="269">
        <f>$B50+Nov!H50</f>
        <v>39.751999999999995</v>
      </c>
      <c r="I50" s="243">
        <v>42.177</v>
      </c>
      <c r="J50" s="130">
        <f t="shared" si="2"/>
        <v>0.39364057154357046</v>
      </c>
      <c r="K50" s="65">
        <f t="shared" si="3"/>
        <v>0.31351210375323069</v>
      </c>
    </row>
    <row r="51" spans="1:11">
      <c r="A51" s="136" t="s">
        <v>42</v>
      </c>
      <c r="B51" s="274"/>
      <c r="C51" s="264">
        <v>0.41099999999999998</v>
      </c>
      <c r="D51" s="266">
        <v>0.29199999999999998</v>
      </c>
      <c r="E51" s="130">
        <f t="shared" si="0"/>
        <v>-1</v>
      </c>
      <c r="F51" s="130">
        <f t="shared" si="1"/>
        <v>-1</v>
      </c>
      <c r="G51" s="269">
        <f>$B51+Nov!G51</f>
        <v>10.299999999999999</v>
      </c>
      <c r="H51" s="269">
        <f>$B51+Nov!H51</f>
        <v>8.1929999999999996</v>
      </c>
      <c r="I51" s="243">
        <v>8.2609999999999992</v>
      </c>
      <c r="J51" s="130">
        <f t="shared" si="2"/>
        <v>0.25717075552300739</v>
      </c>
      <c r="K51" s="65">
        <f t="shared" si="3"/>
        <v>0.24682241859339071</v>
      </c>
    </row>
    <row r="52" spans="1:11">
      <c r="A52" s="136"/>
      <c r="B52" s="274"/>
      <c r="C52" s="264">
        <v>0</v>
      </c>
      <c r="D52" s="266">
        <v>0</v>
      </c>
      <c r="E52" s="130"/>
      <c r="F52" s="130"/>
      <c r="G52" s="269">
        <f>$B52+Nov!G52</f>
        <v>0</v>
      </c>
      <c r="H52" s="269">
        <f>$B52+Nov!H52</f>
        <v>0</v>
      </c>
      <c r="I52" s="243">
        <v>0</v>
      </c>
      <c r="J52" s="130"/>
      <c r="K52" s="65"/>
    </row>
    <row r="53" spans="1:11">
      <c r="A53" s="136" t="s">
        <v>43</v>
      </c>
      <c r="B53" s="274"/>
      <c r="C53" s="264">
        <v>33.755000000000003</v>
      </c>
      <c r="D53" s="266">
        <v>24.353999999999999</v>
      </c>
      <c r="E53" s="130">
        <f t="shared" si="0"/>
        <v>-1</v>
      </c>
      <c r="F53" s="130">
        <f t="shared" si="1"/>
        <v>-1</v>
      </c>
      <c r="G53" s="269">
        <f>$B53+Nov!G53</f>
        <v>496.9</v>
      </c>
      <c r="H53" s="269">
        <f>$B53+Nov!H53</f>
        <v>406.60299999999995</v>
      </c>
      <c r="I53" s="243">
        <v>442.613</v>
      </c>
      <c r="J53" s="130">
        <f t="shared" si="2"/>
        <v>0.22207657100414901</v>
      </c>
      <c r="K53" s="65">
        <f t="shared" si="3"/>
        <v>0.12265116478729721</v>
      </c>
    </row>
    <row r="54" spans="1:11">
      <c r="A54" s="136" t="s">
        <v>44</v>
      </c>
      <c r="B54" s="274"/>
      <c r="C54" s="264">
        <v>21.332999999999998</v>
      </c>
      <c r="D54" s="266">
        <v>15.122999999999999</v>
      </c>
      <c r="E54" s="130">
        <f t="shared" si="0"/>
        <v>-1</v>
      </c>
      <c r="F54" s="130">
        <f t="shared" si="1"/>
        <v>-1</v>
      </c>
      <c r="G54" s="269">
        <f>$B54+Nov!G54</f>
        <v>307.2</v>
      </c>
      <c r="H54" s="269">
        <f>$B54+Nov!H54</f>
        <v>244.673</v>
      </c>
      <c r="I54" s="243">
        <v>293.96600000000001</v>
      </c>
      <c r="J54" s="130">
        <f t="shared" si="2"/>
        <v>0.25555333036338301</v>
      </c>
      <c r="K54" s="65">
        <f t="shared" si="3"/>
        <v>4.5018811699311989E-2</v>
      </c>
    </row>
    <row r="55" spans="1:11">
      <c r="A55" s="136" t="s">
        <v>45</v>
      </c>
      <c r="B55" s="274"/>
      <c r="C55" s="264">
        <v>9.3149999999999995</v>
      </c>
      <c r="D55" s="266">
        <v>7.0529999999999999</v>
      </c>
      <c r="E55" s="130">
        <f t="shared" si="0"/>
        <v>-1</v>
      </c>
      <c r="F55" s="130">
        <f t="shared" si="1"/>
        <v>-1</v>
      </c>
      <c r="G55" s="269">
        <f>$B55+Nov!G55</f>
        <v>136.9</v>
      </c>
      <c r="H55" s="269">
        <f>$B55+Nov!H55</f>
        <v>122.595</v>
      </c>
      <c r="I55" s="243">
        <v>112.699</v>
      </c>
      <c r="J55" s="130">
        <f t="shared" si="2"/>
        <v>0.11668501978057844</v>
      </c>
      <c r="K55" s="65">
        <f t="shared" si="3"/>
        <v>0.21474014853725421</v>
      </c>
    </row>
    <row r="56" spans="1:11">
      <c r="A56" s="136" t="s">
        <v>46</v>
      </c>
      <c r="B56" s="274"/>
      <c r="C56" s="264">
        <v>1.268</v>
      </c>
      <c r="D56" s="266">
        <v>1.1459999999999999</v>
      </c>
      <c r="E56" s="130">
        <f t="shared" si="0"/>
        <v>-1</v>
      </c>
      <c r="F56" s="130">
        <f t="shared" si="1"/>
        <v>-1</v>
      </c>
      <c r="G56" s="269">
        <f>$B56+Nov!G56</f>
        <v>24.000000000000004</v>
      </c>
      <c r="H56" s="269">
        <f>$B56+Nov!H56</f>
        <v>21.081</v>
      </c>
      <c r="I56" s="243">
        <v>15.906000000000001</v>
      </c>
      <c r="J56" s="130">
        <f t="shared" si="2"/>
        <v>0.13846591717660472</v>
      </c>
      <c r="K56" s="65">
        <f t="shared" si="3"/>
        <v>0.50886457940399876</v>
      </c>
    </row>
    <row r="57" spans="1:11">
      <c r="A57" s="136" t="s">
        <v>47</v>
      </c>
      <c r="B57" s="274"/>
      <c r="C57" s="264">
        <v>0.74199999999999999</v>
      </c>
      <c r="D57" s="266">
        <v>0.51900000000000002</v>
      </c>
      <c r="E57" s="130">
        <f t="shared" si="0"/>
        <v>-1</v>
      </c>
      <c r="F57" s="130">
        <f t="shared" si="1"/>
        <v>-1</v>
      </c>
      <c r="G57" s="269">
        <f>$B57+Nov!G57</f>
        <v>10</v>
      </c>
      <c r="H57" s="269">
        <f>$B57+Nov!H57</f>
        <v>7.9650000000000007</v>
      </c>
      <c r="I57" s="243">
        <v>7.6020000000000003</v>
      </c>
      <c r="J57" s="130">
        <f t="shared" si="2"/>
        <v>0.25549278091650951</v>
      </c>
      <c r="K57" s="65">
        <f t="shared" si="3"/>
        <v>0.31544330439358048</v>
      </c>
    </row>
    <row r="58" spans="1:11">
      <c r="A58" s="136" t="s">
        <v>48</v>
      </c>
      <c r="B58" s="274"/>
      <c r="C58" s="264">
        <v>0.22700000000000001</v>
      </c>
      <c r="D58" s="266">
        <v>0.17799999999999999</v>
      </c>
      <c r="E58" s="130">
        <f t="shared" si="0"/>
        <v>-1</v>
      </c>
      <c r="F58" s="130">
        <f t="shared" si="1"/>
        <v>-1</v>
      </c>
      <c r="G58" s="269">
        <f>$B58+Nov!G58</f>
        <v>3.6999999999999997</v>
      </c>
      <c r="H58" s="269">
        <f>$B58+Nov!H58</f>
        <v>3.577</v>
      </c>
      <c r="I58" s="243">
        <v>3.573</v>
      </c>
      <c r="J58" s="130">
        <f t="shared" si="2"/>
        <v>3.4386357282639057E-2</v>
      </c>
      <c r="K58" s="65">
        <f t="shared" si="3"/>
        <v>3.5544360481388093E-2</v>
      </c>
    </row>
    <row r="59" spans="1:11">
      <c r="A59" s="136" t="s">
        <v>87</v>
      </c>
      <c r="B59" s="274"/>
      <c r="C59" s="264">
        <v>0.35299999999999998</v>
      </c>
      <c r="D59" s="266">
        <v>0.29399999999999998</v>
      </c>
      <c r="E59" s="130">
        <f t="shared" si="0"/>
        <v>-1</v>
      </c>
      <c r="F59" s="130">
        <f t="shared" si="1"/>
        <v>-1</v>
      </c>
      <c r="G59" s="269">
        <f>$B59+Nov!G59</f>
        <v>8.1999999999999993</v>
      </c>
      <c r="H59" s="269">
        <f>$B59+Nov!H59</f>
        <v>5.3440000000000012</v>
      </c>
      <c r="I59" s="243">
        <v>7.7249999999999996</v>
      </c>
      <c r="J59" s="130">
        <f t="shared" si="2"/>
        <v>0.53443113772455053</v>
      </c>
      <c r="K59" s="65">
        <f t="shared" si="3"/>
        <v>6.1488673139158623E-2</v>
      </c>
    </row>
    <row r="60" spans="1:11">
      <c r="A60" s="136" t="s">
        <v>49</v>
      </c>
      <c r="B60" s="274"/>
      <c r="C60" s="264">
        <v>0.51700000000000002</v>
      </c>
      <c r="D60" s="266">
        <v>4.1000000000000002E-2</v>
      </c>
      <c r="E60" s="130">
        <f t="shared" si="0"/>
        <v>-1</v>
      </c>
      <c r="F60" s="130">
        <f t="shared" si="1"/>
        <v>-1</v>
      </c>
      <c r="G60" s="269">
        <f>$B60+Nov!G60</f>
        <v>6.8999999999999995</v>
      </c>
      <c r="H60" s="269">
        <f>$B60+Nov!H60</f>
        <v>1.3679999999999999</v>
      </c>
      <c r="I60" s="243">
        <v>1.1419999999999999</v>
      </c>
      <c r="J60" s="130">
        <f t="shared" si="2"/>
        <v>4.0438596491228074</v>
      </c>
      <c r="K60" s="65">
        <f t="shared" si="3"/>
        <v>5.0420315236427324</v>
      </c>
    </row>
    <row r="61" spans="1:11">
      <c r="A61" s="136"/>
      <c r="B61" s="274"/>
      <c r="C61" s="264">
        <v>0</v>
      </c>
      <c r="D61" s="266">
        <v>0</v>
      </c>
      <c r="E61" s="130"/>
      <c r="F61" s="130"/>
      <c r="G61" s="269">
        <f>$B61+Nov!G61</f>
        <v>0</v>
      </c>
      <c r="H61" s="269">
        <f>$B61+Nov!H61</f>
        <v>0</v>
      </c>
      <c r="I61" s="243">
        <v>0</v>
      </c>
      <c r="J61" s="130"/>
      <c r="K61" s="65"/>
    </row>
    <row r="62" spans="1:11">
      <c r="A62" s="136" t="s">
        <v>50</v>
      </c>
      <c r="B62" s="274"/>
      <c r="C62" s="264">
        <v>1.8660000000000001</v>
      </c>
      <c r="D62" s="266">
        <v>0.83599999999999997</v>
      </c>
      <c r="E62" s="130">
        <f t="shared" si="0"/>
        <v>-1</v>
      </c>
      <c r="F62" s="130">
        <f t="shared" si="1"/>
        <v>-1</v>
      </c>
      <c r="G62" s="269">
        <f>$B62+Nov!G62</f>
        <v>10.6</v>
      </c>
      <c r="H62" s="269">
        <f>$B62+Nov!H62</f>
        <v>12.355999999999998</v>
      </c>
      <c r="I62" s="243">
        <v>10.074</v>
      </c>
      <c r="J62" s="130">
        <f t="shared" si="2"/>
        <v>-0.14211719002913559</v>
      </c>
      <c r="K62" s="65">
        <f t="shared" si="3"/>
        <v>5.2213619217788443E-2</v>
      </c>
    </row>
    <row r="63" spans="1:11">
      <c r="A63" s="136" t="s">
        <v>51</v>
      </c>
      <c r="B63" s="274"/>
      <c r="C63" s="264">
        <v>0.28399999999999997</v>
      </c>
      <c r="D63" s="266">
        <v>0.23100000000000001</v>
      </c>
      <c r="E63" s="130">
        <f t="shared" si="0"/>
        <v>-1</v>
      </c>
      <c r="F63" s="130">
        <f t="shared" si="1"/>
        <v>-1</v>
      </c>
      <c r="G63" s="269">
        <f>$B63+Nov!G63</f>
        <v>4.2</v>
      </c>
      <c r="H63" s="269">
        <f>$B63+Nov!H63</f>
        <v>2.5909999999999997</v>
      </c>
      <c r="I63" s="243">
        <v>2.8330000000000002</v>
      </c>
      <c r="J63" s="130">
        <f t="shared" si="2"/>
        <v>0.62099575453492872</v>
      </c>
      <c r="K63" s="65">
        <f t="shared" si="3"/>
        <v>0.48252735615954823</v>
      </c>
    </row>
    <row r="64" spans="1:11">
      <c r="A64" s="136" t="s">
        <v>52</v>
      </c>
      <c r="B64" s="274"/>
      <c r="C64" s="264">
        <v>1.4179999999999999</v>
      </c>
      <c r="D64" s="266">
        <v>1.2629999999999999</v>
      </c>
      <c r="E64" s="130">
        <f t="shared" si="0"/>
        <v>-1</v>
      </c>
      <c r="F64" s="130">
        <f t="shared" si="1"/>
        <v>-1</v>
      </c>
      <c r="G64" s="269">
        <f>$B64+Nov!G64</f>
        <v>15.799999999999999</v>
      </c>
      <c r="H64" s="269">
        <f>$B64+Nov!H64</f>
        <v>11.458</v>
      </c>
      <c r="I64" s="243">
        <v>10.595000000000001</v>
      </c>
      <c r="J64" s="130">
        <f t="shared" si="2"/>
        <v>0.37894920579507763</v>
      </c>
      <c r="K64" s="65">
        <f t="shared" si="3"/>
        <v>0.49126946672958915</v>
      </c>
    </row>
    <row r="65" spans="1:11">
      <c r="A65" s="136" t="s">
        <v>53</v>
      </c>
      <c r="B65" s="274"/>
      <c r="C65" s="264">
        <v>0.93400000000000005</v>
      </c>
      <c r="D65" s="266">
        <v>0.58299999999999996</v>
      </c>
      <c r="E65" s="130">
        <f t="shared" si="0"/>
        <v>-1</v>
      </c>
      <c r="F65" s="130">
        <f t="shared" si="1"/>
        <v>-1</v>
      </c>
      <c r="G65" s="269">
        <f>$B65+Nov!G65</f>
        <v>11.700000000000001</v>
      </c>
      <c r="H65" s="269">
        <f>$B65+Nov!H65</f>
        <v>7.1979999999999995</v>
      </c>
      <c r="I65" s="243">
        <v>5.774</v>
      </c>
      <c r="J65" s="130">
        <f t="shared" si="2"/>
        <v>0.62545151430953072</v>
      </c>
      <c r="K65" s="65">
        <f t="shared" si="3"/>
        <v>1.0263249047454108</v>
      </c>
    </row>
    <row r="66" spans="1:11">
      <c r="A66" s="136"/>
      <c r="B66" s="274"/>
      <c r="C66" s="264">
        <v>0</v>
      </c>
      <c r="D66" s="266">
        <v>0</v>
      </c>
      <c r="E66" s="130"/>
      <c r="F66" s="130"/>
      <c r="G66" s="269">
        <f>$B66+Nov!G66</f>
        <v>0</v>
      </c>
      <c r="H66" s="269">
        <f>$B66+Nov!H66</f>
        <v>0</v>
      </c>
      <c r="I66" s="243">
        <v>0</v>
      </c>
      <c r="J66" s="130"/>
      <c r="K66" s="65"/>
    </row>
    <row r="67" spans="1:11">
      <c r="A67" s="136" t="s">
        <v>54</v>
      </c>
      <c r="B67" s="274"/>
      <c r="C67" s="264">
        <v>4.274</v>
      </c>
      <c r="D67" s="266">
        <v>2.96</v>
      </c>
      <c r="E67" s="130">
        <f t="shared" si="0"/>
        <v>-1</v>
      </c>
      <c r="F67" s="130">
        <f t="shared" si="1"/>
        <v>-1</v>
      </c>
      <c r="G67" s="269">
        <f>$B67+Nov!G67</f>
        <v>85.1</v>
      </c>
      <c r="H67" s="269">
        <f>$B67+Nov!H67</f>
        <v>47.295000000000002</v>
      </c>
      <c r="I67" s="243">
        <v>57.808</v>
      </c>
      <c r="J67" s="130">
        <f t="shared" si="2"/>
        <v>0.79934453959192275</v>
      </c>
      <c r="K67" s="65">
        <f t="shared" si="3"/>
        <v>0.47211458621644065</v>
      </c>
    </row>
    <row r="68" spans="1:11">
      <c r="A68" s="136" t="s">
        <v>55</v>
      </c>
      <c r="B68" s="274"/>
      <c r="C68" s="264">
        <v>1.363</v>
      </c>
      <c r="D68" s="266">
        <v>1.254</v>
      </c>
      <c r="E68" s="130">
        <f t="shared" si="0"/>
        <v>-1</v>
      </c>
      <c r="F68" s="130">
        <f t="shared" si="1"/>
        <v>-1</v>
      </c>
      <c r="G68" s="269">
        <f>$B68+Nov!G68</f>
        <v>20.7</v>
      </c>
      <c r="H68" s="269">
        <f>$B68+Nov!H68</f>
        <v>15.175999999999998</v>
      </c>
      <c r="I68" s="243">
        <v>16.423999999999999</v>
      </c>
      <c r="J68" s="130">
        <f t="shared" si="2"/>
        <v>0.36399578281497114</v>
      </c>
      <c r="K68" s="65">
        <f t="shared" si="3"/>
        <v>0.26035070628348755</v>
      </c>
    </row>
    <row r="69" spans="1:11">
      <c r="A69" s="136" t="s">
        <v>56</v>
      </c>
      <c r="B69" s="274"/>
      <c r="C69" s="264">
        <v>0.28799999999999998</v>
      </c>
      <c r="D69" s="266">
        <v>0.218</v>
      </c>
      <c r="E69" s="130">
        <f t="shared" si="0"/>
        <v>-1</v>
      </c>
      <c r="F69" s="130">
        <f t="shared" si="1"/>
        <v>-1</v>
      </c>
      <c r="G69" s="269">
        <f>$B69+Nov!G69</f>
        <v>5.8999999999999995</v>
      </c>
      <c r="H69" s="269">
        <f>$B69+Nov!H69</f>
        <v>4.0439999999999996</v>
      </c>
      <c r="I69" s="243">
        <v>2.6760000000000002</v>
      </c>
      <c r="J69" s="130">
        <f t="shared" si="2"/>
        <v>0.4589515331355094</v>
      </c>
      <c r="K69" s="65">
        <f t="shared" si="3"/>
        <v>1.2047832585949174</v>
      </c>
    </row>
    <row r="70" spans="1:11">
      <c r="A70" s="136" t="s">
        <v>88</v>
      </c>
      <c r="B70" s="274"/>
      <c r="C70" s="264">
        <v>0.122</v>
      </c>
      <c r="D70" s="266">
        <v>0.10199999999999999</v>
      </c>
      <c r="E70" s="130">
        <f t="shared" ref="E70:E94" si="4">B70/C70-1</f>
        <v>-1</v>
      </c>
      <c r="F70" s="130">
        <f t="shared" ref="F70:F94" si="5">B70/D70-1</f>
        <v>-1</v>
      </c>
      <c r="G70" s="269">
        <f>$B70+Nov!G70</f>
        <v>2.4999999999999996</v>
      </c>
      <c r="H70" s="269">
        <f>$B70+Nov!H70</f>
        <v>1.6659999999999999</v>
      </c>
      <c r="I70" s="243">
        <v>2.76</v>
      </c>
      <c r="J70" s="130">
        <f t="shared" ref="J70:J96" si="6">G70/H70-1</f>
        <v>0.50060024009603832</v>
      </c>
      <c r="K70" s="65">
        <f t="shared" ref="K70:K96" si="7">G70/I70-1</f>
        <v>-9.4202898550724723E-2</v>
      </c>
    </row>
    <row r="71" spans="1:11">
      <c r="A71" s="136" t="s">
        <v>89</v>
      </c>
      <c r="B71" s="274"/>
      <c r="C71" s="264">
        <v>0.32900000000000001</v>
      </c>
      <c r="D71" s="266">
        <v>0.23499999999999999</v>
      </c>
      <c r="E71" s="130">
        <f t="shared" si="4"/>
        <v>-1</v>
      </c>
      <c r="F71" s="130">
        <f t="shared" si="5"/>
        <v>-1</v>
      </c>
      <c r="G71" s="269">
        <f>$B71+Nov!G71</f>
        <v>5.8</v>
      </c>
      <c r="H71" s="269">
        <f>$B71+Nov!H71</f>
        <v>4.2810000000000006</v>
      </c>
      <c r="I71" s="243">
        <v>4.6959999999999997</v>
      </c>
      <c r="J71" s="130">
        <f t="shared" si="6"/>
        <v>0.35482363933660332</v>
      </c>
      <c r="K71" s="65">
        <f t="shared" si="7"/>
        <v>0.23509369676320269</v>
      </c>
    </row>
    <row r="72" spans="1:11">
      <c r="A72" s="136" t="s">
        <v>59</v>
      </c>
      <c r="B72" s="274"/>
      <c r="C72" s="264">
        <v>2.6480000000000001</v>
      </c>
      <c r="D72" s="266">
        <v>1.587</v>
      </c>
      <c r="E72" s="130">
        <f t="shared" si="4"/>
        <v>-1</v>
      </c>
      <c r="F72" s="130">
        <f t="shared" si="5"/>
        <v>-1</v>
      </c>
      <c r="G72" s="269">
        <f>$B72+Nov!G72</f>
        <v>74.7</v>
      </c>
      <c r="H72" s="269">
        <f>$B72+Nov!H72</f>
        <v>46.191999999999993</v>
      </c>
      <c r="I72" s="243">
        <v>43.156999999999996</v>
      </c>
      <c r="J72" s="130">
        <f t="shared" si="6"/>
        <v>0.61716314513335679</v>
      </c>
      <c r="K72" s="65">
        <f t="shared" si="7"/>
        <v>0.73088954283198571</v>
      </c>
    </row>
    <row r="73" spans="1:11">
      <c r="A73" s="136" t="s">
        <v>60</v>
      </c>
      <c r="B73" s="274"/>
      <c r="C73" s="264">
        <v>0.77400000000000002</v>
      </c>
      <c r="D73" s="266">
        <v>0.53500000000000003</v>
      </c>
      <c r="E73" s="130">
        <f t="shared" si="4"/>
        <v>-1</v>
      </c>
      <c r="F73" s="130">
        <f t="shared" si="5"/>
        <v>-1</v>
      </c>
      <c r="G73" s="269">
        <f>$B73+Nov!G73</f>
        <v>10.7</v>
      </c>
      <c r="H73" s="269">
        <f>$B73+Nov!H73</f>
        <v>7.5819999999999999</v>
      </c>
      <c r="I73" s="243">
        <v>8.7260000000000009</v>
      </c>
      <c r="J73" s="130">
        <f t="shared" si="6"/>
        <v>0.4112371405961488</v>
      </c>
      <c r="K73" s="65">
        <f t="shared" si="7"/>
        <v>0.22622049048819592</v>
      </c>
    </row>
    <row r="74" spans="1:11">
      <c r="A74" s="136" t="s">
        <v>61</v>
      </c>
      <c r="B74" s="274"/>
      <c r="C74" s="264">
        <v>1.044</v>
      </c>
      <c r="D74" s="266">
        <v>0.63500000000000001</v>
      </c>
      <c r="E74" s="130">
        <f t="shared" si="4"/>
        <v>-1</v>
      </c>
      <c r="F74" s="130">
        <f t="shared" si="5"/>
        <v>-1</v>
      </c>
      <c r="G74" s="269">
        <f>$B74+Nov!G74</f>
        <v>22.2</v>
      </c>
      <c r="H74" s="269">
        <f>$B74+Nov!H74</f>
        <v>14.833000000000002</v>
      </c>
      <c r="I74" s="243">
        <v>14.22</v>
      </c>
      <c r="J74" s="130">
        <f t="shared" si="6"/>
        <v>0.49666284635609759</v>
      </c>
      <c r="K74" s="65">
        <f t="shared" si="7"/>
        <v>0.56118143459915593</v>
      </c>
    </row>
    <row r="75" spans="1:11">
      <c r="A75" s="136" t="s">
        <v>62</v>
      </c>
      <c r="B75" s="274"/>
      <c r="C75" s="264">
        <v>0.80500000000000005</v>
      </c>
      <c r="D75" s="266">
        <v>0.26800000000000002</v>
      </c>
      <c r="E75" s="130">
        <f t="shared" si="4"/>
        <v>-1</v>
      </c>
      <c r="F75" s="130">
        <f t="shared" si="5"/>
        <v>-1</v>
      </c>
      <c r="G75" s="269">
        <f>$B75+Nov!G75</f>
        <v>13.399999999999999</v>
      </c>
      <c r="H75" s="269">
        <f>$B75+Nov!H75</f>
        <v>7.8999999999999995</v>
      </c>
      <c r="I75" s="243">
        <v>8.6820000000000004</v>
      </c>
      <c r="J75" s="130">
        <f t="shared" si="6"/>
        <v>0.69620253164556956</v>
      </c>
      <c r="K75" s="65">
        <f t="shared" si="7"/>
        <v>0.54342317438378229</v>
      </c>
    </row>
    <row r="76" spans="1:11">
      <c r="A76" s="136" t="s">
        <v>63</v>
      </c>
      <c r="B76" s="274"/>
      <c r="C76" s="264">
        <v>1.34</v>
      </c>
      <c r="D76" s="266">
        <v>0.79700000000000004</v>
      </c>
      <c r="E76" s="130">
        <f t="shared" si="4"/>
        <v>-1</v>
      </c>
      <c r="F76" s="130">
        <f t="shared" si="5"/>
        <v>-1</v>
      </c>
      <c r="G76" s="269">
        <f>$B76+Nov!G76</f>
        <v>26.6</v>
      </c>
      <c r="H76" s="269">
        <f>$B76+Nov!H76</f>
        <v>16.367000000000001</v>
      </c>
      <c r="I76" s="243">
        <v>15.747999999999999</v>
      </c>
      <c r="J76" s="130">
        <f t="shared" si="6"/>
        <v>0.6252214822508706</v>
      </c>
      <c r="K76" s="65">
        <f t="shared" si="7"/>
        <v>0.6891033782067566</v>
      </c>
    </row>
    <row r="77" spans="1:11">
      <c r="A77" s="136" t="s">
        <v>64</v>
      </c>
      <c r="B77" s="274"/>
      <c r="C77" s="264">
        <v>0.439</v>
      </c>
      <c r="D77" s="266">
        <v>0.34499999999999997</v>
      </c>
      <c r="E77" s="130">
        <f t="shared" si="4"/>
        <v>-1</v>
      </c>
      <c r="F77" s="130">
        <f t="shared" si="5"/>
        <v>-1</v>
      </c>
      <c r="G77" s="269">
        <f>$B77+Nov!G77</f>
        <v>6.4</v>
      </c>
      <c r="H77" s="269">
        <f>$B77+Nov!H77</f>
        <v>5.5169999999999995</v>
      </c>
      <c r="I77" s="243">
        <v>4.2569999999999997</v>
      </c>
      <c r="J77" s="130">
        <f t="shared" si="6"/>
        <v>0.16005075222040976</v>
      </c>
      <c r="K77" s="65">
        <f t="shared" si="7"/>
        <v>0.50340615456894544</v>
      </c>
    </row>
    <row r="78" spans="1:11">
      <c r="A78" s="136"/>
      <c r="B78" s="274"/>
      <c r="C78" s="264">
        <v>0</v>
      </c>
      <c r="D78" s="266">
        <v>0</v>
      </c>
      <c r="E78" s="130"/>
      <c r="F78" s="130"/>
      <c r="G78" s="269">
        <f>$B78+Nov!G78</f>
        <v>0</v>
      </c>
      <c r="H78" s="269">
        <f>$B78+Nov!H78</f>
        <v>0</v>
      </c>
      <c r="I78" s="243">
        <v>0</v>
      </c>
      <c r="J78" s="130"/>
      <c r="K78" s="65"/>
    </row>
    <row r="79" spans="1:11">
      <c r="A79" s="136" t="s">
        <v>65</v>
      </c>
      <c r="B79" s="274"/>
      <c r="C79" s="264">
        <v>72.19</v>
      </c>
      <c r="D79" s="266">
        <v>61.448999999999998</v>
      </c>
      <c r="E79" s="130">
        <f t="shared" si="4"/>
        <v>-1</v>
      </c>
      <c r="F79" s="130">
        <f t="shared" si="5"/>
        <v>-1</v>
      </c>
      <c r="G79" s="269">
        <f>$B79+Nov!G79</f>
        <v>939.10000000000014</v>
      </c>
      <c r="H79" s="269">
        <f>$B79+Nov!H79</f>
        <v>759.58799999999997</v>
      </c>
      <c r="I79" s="243">
        <v>809.01300000000003</v>
      </c>
      <c r="J79" s="130">
        <f t="shared" si="6"/>
        <v>0.23632811471481929</v>
      </c>
      <c r="K79" s="65">
        <f t="shared" si="7"/>
        <v>0.16079716889592643</v>
      </c>
    </row>
    <row r="80" spans="1:11">
      <c r="A80" s="136" t="s">
        <v>66</v>
      </c>
      <c r="B80" s="274"/>
      <c r="C80" s="264">
        <v>57.000999999999998</v>
      </c>
      <c r="D80" s="266">
        <v>49.673000000000002</v>
      </c>
      <c r="E80" s="130">
        <f t="shared" si="4"/>
        <v>-1</v>
      </c>
      <c r="F80" s="130">
        <f t="shared" si="5"/>
        <v>-1</v>
      </c>
      <c r="G80" s="269">
        <f>$B80+Nov!G80</f>
        <v>716.20000000000016</v>
      </c>
      <c r="H80" s="269">
        <f>$B80+Nov!H80</f>
        <v>591.30900000000008</v>
      </c>
      <c r="I80" s="243">
        <v>620.34500000000003</v>
      </c>
      <c r="J80" s="130">
        <f t="shared" si="6"/>
        <v>0.21121105885416935</v>
      </c>
      <c r="K80" s="65">
        <f t="shared" si="7"/>
        <v>0.15451885644278618</v>
      </c>
    </row>
    <row r="81" spans="1:14">
      <c r="A81" s="136" t="s">
        <v>67</v>
      </c>
      <c r="B81" s="274"/>
      <c r="C81" s="264">
        <v>5.1920000000000002</v>
      </c>
      <c r="D81" s="266">
        <v>4.0039999999999996</v>
      </c>
      <c r="E81" s="130">
        <f t="shared" si="4"/>
        <v>-1</v>
      </c>
      <c r="F81" s="130">
        <f t="shared" si="5"/>
        <v>-1</v>
      </c>
      <c r="G81" s="269">
        <f>$B81+Nov!G81</f>
        <v>75.199999999999989</v>
      </c>
      <c r="H81" s="269">
        <f>$B81+Nov!H81</f>
        <v>59.346000000000004</v>
      </c>
      <c r="I81" s="243">
        <v>63.53</v>
      </c>
      <c r="J81" s="130">
        <f t="shared" si="6"/>
        <v>0.2671452161898018</v>
      </c>
      <c r="K81" s="65">
        <f t="shared" si="7"/>
        <v>0.18369274358570742</v>
      </c>
    </row>
    <row r="82" spans="1:14">
      <c r="A82" s="136" t="s">
        <v>68</v>
      </c>
      <c r="B82" s="274"/>
      <c r="C82" s="264">
        <v>1.673</v>
      </c>
      <c r="D82" s="266">
        <v>1.2549999999999999</v>
      </c>
      <c r="E82" s="130">
        <f t="shared" si="4"/>
        <v>-1</v>
      </c>
      <c r="F82" s="130">
        <f t="shared" si="5"/>
        <v>-1</v>
      </c>
      <c r="G82" s="269">
        <f>$B82+Nov!G82</f>
        <v>25.9</v>
      </c>
      <c r="H82" s="269">
        <f>$B82+Nov!H82</f>
        <v>19.046999999999997</v>
      </c>
      <c r="I82" s="243">
        <v>22.43</v>
      </c>
      <c r="J82" s="130">
        <f t="shared" si="6"/>
        <v>0.35979419331128271</v>
      </c>
      <c r="K82" s="65">
        <f t="shared" si="7"/>
        <v>0.15470352206865789</v>
      </c>
    </row>
    <row r="83" spans="1:14">
      <c r="A83" s="136" t="s">
        <v>69</v>
      </c>
      <c r="B83" s="274"/>
      <c r="C83" s="264">
        <v>8.3239999999999998</v>
      </c>
      <c r="D83" s="266">
        <v>6.5170000000000003</v>
      </c>
      <c r="E83" s="130">
        <f t="shared" si="4"/>
        <v>-1</v>
      </c>
      <c r="F83" s="130">
        <f t="shared" si="5"/>
        <v>-1</v>
      </c>
      <c r="G83" s="269">
        <f>$B83+Nov!G83</f>
        <v>129.1</v>
      </c>
      <c r="H83" s="269">
        <f>$B83+Nov!H83</f>
        <v>89.885999999999996</v>
      </c>
      <c r="I83" s="243">
        <v>102.708</v>
      </c>
      <c r="J83" s="130">
        <f t="shared" si="6"/>
        <v>0.4362637118127406</v>
      </c>
      <c r="K83" s="65">
        <f t="shared" si="7"/>
        <v>0.25696148303929589</v>
      </c>
    </row>
    <row r="84" spans="1:14">
      <c r="A84" s="136" t="s">
        <v>70</v>
      </c>
      <c r="B84" s="274"/>
      <c r="C84" s="264">
        <v>0.14699999999999999</v>
      </c>
      <c r="D84" s="266">
        <v>0.159</v>
      </c>
      <c r="E84" s="130">
        <f t="shared" si="4"/>
        <v>-1</v>
      </c>
      <c r="F84" s="130">
        <f t="shared" si="5"/>
        <v>-1</v>
      </c>
      <c r="G84" s="269">
        <f>$B84+Nov!G84</f>
        <v>3.4000000000000004</v>
      </c>
      <c r="H84" s="269">
        <f>$B84+Nov!H84</f>
        <v>2.8380000000000005</v>
      </c>
      <c r="I84" s="243">
        <v>2.9420000000000002</v>
      </c>
      <c r="J84" s="130">
        <f t="shared" si="6"/>
        <v>0.19802677942212821</v>
      </c>
      <c r="K84" s="65">
        <f t="shared" si="7"/>
        <v>0.15567641060503057</v>
      </c>
    </row>
    <row r="85" spans="1:14">
      <c r="A85" s="136" t="s">
        <v>71</v>
      </c>
      <c r="B85" s="274"/>
      <c r="C85" s="264">
        <v>1.944</v>
      </c>
      <c r="D85" s="266">
        <v>1.8169999999999999</v>
      </c>
      <c r="E85" s="130">
        <f t="shared" si="4"/>
        <v>-1</v>
      </c>
      <c r="F85" s="130">
        <f t="shared" si="5"/>
        <v>-1</v>
      </c>
      <c r="G85" s="269">
        <f>$B85+Nov!G85</f>
        <v>29.6</v>
      </c>
      <c r="H85" s="269">
        <f>$B85+Nov!H85</f>
        <v>23.43</v>
      </c>
      <c r="I85" s="243">
        <v>24.321999999999999</v>
      </c>
      <c r="J85" s="130">
        <f t="shared" si="6"/>
        <v>0.26333760136577045</v>
      </c>
      <c r="K85" s="65">
        <f t="shared" si="7"/>
        <v>0.21700518049502526</v>
      </c>
    </row>
    <row r="86" spans="1:14">
      <c r="A86" s="136" t="s">
        <v>72</v>
      </c>
      <c r="B86" s="274"/>
      <c r="C86" s="264">
        <v>3.024</v>
      </c>
      <c r="D86" s="266">
        <v>2.4460000000000002</v>
      </c>
      <c r="E86" s="130">
        <f t="shared" si="4"/>
        <v>-1</v>
      </c>
      <c r="F86" s="130">
        <f t="shared" si="5"/>
        <v>-1</v>
      </c>
      <c r="G86" s="269">
        <f>$B86+Nov!G86</f>
        <v>51.300000000000004</v>
      </c>
      <c r="H86" s="269">
        <f>$B86+Nov!H86</f>
        <v>31.094000000000001</v>
      </c>
      <c r="I86" s="243">
        <v>42.305999999999997</v>
      </c>
      <c r="J86" s="130">
        <f t="shared" si="6"/>
        <v>0.64983598121824149</v>
      </c>
      <c r="K86" s="65">
        <f t="shared" si="7"/>
        <v>0.2125939583037868</v>
      </c>
    </row>
    <row r="87" spans="1:14">
      <c r="A87" s="136" t="s">
        <v>73</v>
      </c>
      <c r="B87" s="274"/>
      <c r="C87" s="264">
        <v>0.39400000000000002</v>
      </c>
      <c r="D87" s="266">
        <v>0.26</v>
      </c>
      <c r="E87" s="130">
        <f t="shared" si="4"/>
        <v>-1</v>
      </c>
      <c r="F87" s="130">
        <f t="shared" si="5"/>
        <v>-1</v>
      </c>
      <c r="G87" s="269">
        <f>$B87+Nov!G87</f>
        <v>7</v>
      </c>
      <c r="H87" s="269">
        <f>$B87+Nov!H87</f>
        <v>5.0289999999999999</v>
      </c>
      <c r="I87" s="243">
        <v>5.5629999999999997</v>
      </c>
      <c r="J87" s="130">
        <f t="shared" si="6"/>
        <v>0.39192682441837356</v>
      </c>
      <c r="K87" s="65">
        <f t="shared" si="7"/>
        <v>0.25831385942836604</v>
      </c>
    </row>
    <row r="88" spans="1:14">
      <c r="A88" s="136" t="s">
        <v>74</v>
      </c>
      <c r="B88" s="274"/>
      <c r="C88" s="264">
        <v>1.0589999999999999</v>
      </c>
      <c r="D88" s="266">
        <v>0.60199999999999998</v>
      </c>
      <c r="E88" s="130">
        <f t="shared" si="4"/>
        <v>-1</v>
      </c>
      <c r="F88" s="130">
        <f t="shared" si="5"/>
        <v>-1</v>
      </c>
      <c r="G88" s="269">
        <f>$B88+Nov!G88</f>
        <v>10.9</v>
      </c>
      <c r="H88" s="269">
        <f>$B88+Nov!H88</f>
        <v>7.4680000000000009</v>
      </c>
      <c r="I88" s="243">
        <v>7.9589999999999996</v>
      </c>
      <c r="J88" s="130">
        <f t="shared" si="6"/>
        <v>0.45956079271558647</v>
      </c>
      <c r="K88" s="65">
        <f t="shared" si="7"/>
        <v>0.36951878376680503</v>
      </c>
    </row>
    <row r="89" spans="1:14">
      <c r="A89" s="136" t="s">
        <v>75</v>
      </c>
      <c r="B89" s="274"/>
      <c r="C89" s="264">
        <v>0.13</v>
      </c>
      <c r="D89" s="266">
        <v>0.121</v>
      </c>
      <c r="E89" s="130">
        <f t="shared" si="4"/>
        <v>-1</v>
      </c>
      <c r="F89" s="130">
        <f t="shared" si="5"/>
        <v>-1</v>
      </c>
      <c r="G89" s="269">
        <f>$B89+Nov!G89</f>
        <v>2.1000000000000005</v>
      </c>
      <c r="H89" s="269">
        <f>$B89+Nov!H89</f>
        <v>1.1539999999999999</v>
      </c>
      <c r="I89" s="243">
        <v>1.319</v>
      </c>
      <c r="J89" s="130">
        <f t="shared" si="6"/>
        <v>0.81975736568457602</v>
      </c>
      <c r="K89" s="65">
        <f t="shared" si="7"/>
        <v>0.59211523881728634</v>
      </c>
    </row>
    <row r="90" spans="1:14">
      <c r="A90" s="136"/>
      <c r="B90" s="274"/>
      <c r="C90" s="264">
        <v>0</v>
      </c>
      <c r="D90" s="266">
        <v>0</v>
      </c>
      <c r="E90" s="130"/>
      <c r="F90" s="130"/>
      <c r="G90" s="269">
        <f>$B90+Nov!G90</f>
        <v>0</v>
      </c>
      <c r="H90" s="269">
        <f>$B90+Nov!H90</f>
        <v>0</v>
      </c>
      <c r="I90" s="243">
        <v>0</v>
      </c>
      <c r="J90" s="130"/>
      <c r="K90" s="65"/>
      <c r="N90" s="128"/>
    </row>
    <row r="91" spans="1:14">
      <c r="A91" s="136" t="s">
        <v>76</v>
      </c>
      <c r="B91" s="274"/>
      <c r="C91" s="264">
        <v>3.5590000000000002</v>
      </c>
      <c r="D91" s="266">
        <v>3.0819999999999999</v>
      </c>
      <c r="E91" s="130">
        <f t="shared" si="4"/>
        <v>-1</v>
      </c>
      <c r="F91" s="130">
        <f t="shared" si="5"/>
        <v>-1</v>
      </c>
      <c r="G91" s="269">
        <f>$B91+Nov!G91</f>
        <v>41.9</v>
      </c>
      <c r="H91" s="269">
        <f>$B91+Nov!H91</f>
        <v>30.381</v>
      </c>
      <c r="I91" s="243">
        <v>33.558999999999997</v>
      </c>
      <c r="J91" s="130">
        <f t="shared" si="6"/>
        <v>0.37915144333629569</v>
      </c>
      <c r="K91" s="65">
        <f t="shared" si="7"/>
        <v>0.24854733454512945</v>
      </c>
    </row>
    <row r="92" spans="1:14">
      <c r="A92" s="136" t="s">
        <v>77</v>
      </c>
      <c r="B92" s="274"/>
      <c r="C92" s="264">
        <v>3.15</v>
      </c>
      <c r="D92" s="266">
        <v>2.6970000000000001</v>
      </c>
      <c r="E92" s="130">
        <f t="shared" si="4"/>
        <v>-1</v>
      </c>
      <c r="F92" s="130">
        <f t="shared" si="5"/>
        <v>-1</v>
      </c>
      <c r="G92" s="269">
        <f>$B92+Nov!G92</f>
        <v>36.1</v>
      </c>
      <c r="H92" s="269">
        <f>$B92+Nov!H92</f>
        <v>26.288</v>
      </c>
      <c r="I92" s="243">
        <v>28.704999999999998</v>
      </c>
      <c r="J92" s="130">
        <f t="shared" si="6"/>
        <v>0.37325015216068169</v>
      </c>
      <c r="K92" s="65">
        <f t="shared" si="7"/>
        <v>0.25762062358474136</v>
      </c>
    </row>
    <row r="93" spans="1:14">
      <c r="A93" s="136" t="s">
        <v>78</v>
      </c>
      <c r="B93" s="274"/>
      <c r="C93" s="264">
        <v>0.32900000000000001</v>
      </c>
      <c r="D93" s="266">
        <v>0.24099999999999999</v>
      </c>
      <c r="E93" s="130">
        <f t="shared" si="4"/>
        <v>-1</v>
      </c>
      <c r="F93" s="130">
        <f t="shared" si="5"/>
        <v>-1</v>
      </c>
      <c r="G93" s="269">
        <f>$B93+Nov!G93</f>
        <v>4.5</v>
      </c>
      <c r="H93" s="269">
        <f>$B93+Nov!H93</f>
        <v>3.181</v>
      </c>
      <c r="I93" s="243">
        <v>3.484</v>
      </c>
      <c r="J93" s="130">
        <f t="shared" si="6"/>
        <v>0.41464948129519019</v>
      </c>
      <c r="K93" s="65">
        <f t="shared" si="7"/>
        <v>0.29161882893226188</v>
      </c>
    </row>
    <row r="94" spans="1:14">
      <c r="A94" s="136" t="s">
        <v>19</v>
      </c>
      <c r="B94" s="274"/>
      <c r="C94" s="264">
        <v>0.08</v>
      </c>
      <c r="D94" s="266">
        <v>0.14399999999999999</v>
      </c>
      <c r="E94" s="130">
        <f t="shared" si="4"/>
        <v>-1</v>
      </c>
      <c r="F94" s="130">
        <f t="shared" si="5"/>
        <v>-1</v>
      </c>
      <c r="G94" s="269">
        <f>$B94+Nov!G94</f>
        <v>1.3</v>
      </c>
      <c r="H94" s="269">
        <f>$B94+Nov!H94</f>
        <v>0.91200000000000003</v>
      </c>
      <c r="I94" s="243">
        <v>1.37</v>
      </c>
      <c r="J94" s="130">
        <f t="shared" si="6"/>
        <v>0.42543859649122817</v>
      </c>
      <c r="K94" s="65">
        <f t="shared" si="7"/>
        <v>-5.1094890510948954E-2</v>
      </c>
    </row>
    <row r="95" spans="1:14">
      <c r="A95" s="136"/>
      <c r="B95" s="274"/>
      <c r="C95" s="264">
        <v>0</v>
      </c>
      <c r="D95" s="266">
        <v>0</v>
      </c>
      <c r="E95" s="130"/>
      <c r="F95" s="130"/>
      <c r="G95" s="269">
        <f>$B95+Nov!G95</f>
        <v>0</v>
      </c>
      <c r="H95" s="269">
        <f>$B95+Nov!H95</f>
        <v>0</v>
      </c>
      <c r="I95" s="243">
        <v>0</v>
      </c>
      <c r="J95" s="130"/>
      <c r="K95" s="65"/>
    </row>
    <row r="96" spans="1:14" ht="13.5" thickBot="1">
      <c r="A96" s="138" t="s">
        <v>79</v>
      </c>
      <c r="B96" s="275"/>
      <c r="C96" s="267">
        <v>0.41899999999999998</v>
      </c>
      <c r="D96" s="268">
        <v>0.46200000000000002</v>
      </c>
      <c r="E96" s="139">
        <f>B96/C96-1</f>
        <v>-1</v>
      </c>
      <c r="F96" s="139">
        <f>B96/D96-1</f>
        <v>-1</v>
      </c>
      <c r="G96" s="270">
        <f>$B96+Nov!G96</f>
        <v>9</v>
      </c>
      <c r="H96" s="270">
        <f>$B96+Nov!H96</f>
        <v>11.593999999999999</v>
      </c>
      <c r="I96" s="244">
        <v>9.1270000000000007</v>
      </c>
      <c r="J96" s="139">
        <f t="shared" si="6"/>
        <v>-0.22373641538726918</v>
      </c>
      <c r="K96" s="67">
        <f t="shared" si="7"/>
        <v>-1.3914758409115935E-2</v>
      </c>
    </row>
    <row r="97" spans="2:2">
      <c r="B97" s="273"/>
    </row>
  </sheetData>
  <mergeCells count="4">
    <mergeCell ref="B3:D3"/>
    <mergeCell ref="E3:F3"/>
    <mergeCell ref="G3:I3"/>
    <mergeCell ref="J3:K3"/>
  </mergeCells>
  <conditionalFormatting sqref="E5:F96">
    <cfRule type="cellIs" dxfId="7" priority="5" operator="lessThan">
      <formula>0</formula>
    </cfRule>
    <cfRule type="cellIs" dxfId="6" priority="6" operator="greaterThan">
      <formula>0</formula>
    </cfRule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J5:K96">
    <cfRule type="cellIs" dxfId="3" priority="1" operator="lessThan">
      <formula>0</formula>
    </cfRule>
    <cfRule type="cellIs" dxfId="2" priority="2" operator="greaterThan">
      <formula>0</formula>
    </cfRule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paperSize="9" scale="87" orientation="portrait" r:id="rId1"/>
  <rowBreaks count="1" manualBreakCount="1">
    <brk id="5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U193"/>
  <sheetViews>
    <sheetView rightToLeft="1" zoomScale="85" zoomScaleNormal="85" workbookViewId="0">
      <selection activeCell="A23" sqref="A23"/>
    </sheetView>
  </sheetViews>
  <sheetFormatPr defaultRowHeight="15"/>
  <cols>
    <col min="15" max="16" width="11.28515625" bestFit="1" customWidth="1"/>
    <col min="44" max="44" width="14.7109375" bestFit="1" customWidth="1"/>
    <col min="45" max="45" width="14.7109375" customWidth="1"/>
    <col min="46" max="46" width="10.28515625" bestFit="1" customWidth="1"/>
    <col min="47" max="47" width="24.85546875" bestFit="1" customWidth="1"/>
  </cols>
  <sheetData>
    <row r="1" spans="1:47" ht="15.75" thickBot="1">
      <c r="A1" s="355" t="s">
        <v>122</v>
      </c>
      <c r="B1" s="356"/>
      <c r="C1" s="356"/>
      <c r="D1" s="357"/>
      <c r="E1" s="355" t="s">
        <v>121</v>
      </c>
      <c r="F1" s="356"/>
      <c r="G1" s="356"/>
      <c r="H1" s="357"/>
      <c r="I1" s="355" t="s">
        <v>120</v>
      </c>
      <c r="J1" s="356"/>
      <c r="K1" s="356"/>
      <c r="L1" s="357"/>
      <c r="M1" s="355" t="s">
        <v>119</v>
      </c>
      <c r="N1" s="356"/>
      <c r="O1" s="356"/>
      <c r="P1" s="357"/>
      <c r="Q1" s="355" t="s">
        <v>118</v>
      </c>
      <c r="R1" s="356"/>
      <c r="S1" s="356"/>
      <c r="T1" s="357"/>
      <c r="U1" s="355" t="s">
        <v>117</v>
      </c>
      <c r="V1" s="356"/>
      <c r="W1" s="356"/>
      <c r="X1" s="357"/>
      <c r="Y1" s="355" t="s">
        <v>116</v>
      </c>
      <c r="Z1" s="356"/>
      <c r="AA1" s="356"/>
      <c r="AB1" s="357"/>
      <c r="AC1" s="355" t="s">
        <v>115</v>
      </c>
      <c r="AD1" s="356"/>
      <c r="AE1" s="356"/>
      <c r="AF1" s="357"/>
      <c r="AG1" s="355" t="s">
        <v>114</v>
      </c>
      <c r="AH1" s="356"/>
      <c r="AI1" s="356"/>
      <c r="AJ1" s="357"/>
      <c r="AK1" s="355" t="s">
        <v>113</v>
      </c>
      <c r="AL1" s="356"/>
      <c r="AM1" s="356"/>
      <c r="AN1" s="357"/>
      <c r="AO1" s="355" t="s">
        <v>112</v>
      </c>
      <c r="AP1" s="356"/>
      <c r="AQ1" s="356"/>
      <c r="AR1" s="357"/>
      <c r="AS1" s="354" t="s">
        <v>110</v>
      </c>
      <c r="AT1" s="354"/>
      <c r="AU1" s="89"/>
    </row>
    <row r="2" spans="1:47" ht="15.75" thickBot="1">
      <c r="A2" s="351" t="s">
        <v>111</v>
      </c>
      <c r="B2" s="352"/>
      <c r="C2" s="351" t="s">
        <v>126</v>
      </c>
      <c r="D2" s="353"/>
      <c r="E2" s="351" t="s">
        <v>111</v>
      </c>
      <c r="F2" s="352"/>
      <c r="G2" s="351" t="s">
        <v>126</v>
      </c>
      <c r="H2" s="353"/>
      <c r="I2" s="351" t="s">
        <v>111</v>
      </c>
      <c r="J2" s="352"/>
      <c r="K2" s="351" t="s">
        <v>126</v>
      </c>
      <c r="L2" s="353"/>
      <c r="M2" s="351" t="s">
        <v>111</v>
      </c>
      <c r="N2" s="352"/>
      <c r="O2" s="351" t="s">
        <v>126</v>
      </c>
      <c r="P2" s="353"/>
      <c r="Q2" s="351" t="s">
        <v>111</v>
      </c>
      <c r="R2" s="352"/>
      <c r="S2" s="351" t="s">
        <v>126</v>
      </c>
      <c r="T2" s="353"/>
      <c r="U2" s="351" t="s">
        <v>111</v>
      </c>
      <c r="V2" s="352"/>
      <c r="W2" s="351" t="s">
        <v>126</v>
      </c>
      <c r="X2" s="353"/>
      <c r="Y2" s="351" t="s">
        <v>111</v>
      </c>
      <c r="Z2" s="352"/>
      <c r="AA2" s="351" t="s">
        <v>126</v>
      </c>
      <c r="AB2" s="353"/>
      <c r="AC2" s="351" t="s">
        <v>111</v>
      </c>
      <c r="AD2" s="352"/>
      <c r="AE2" s="351" t="s">
        <v>126</v>
      </c>
      <c r="AF2" s="353"/>
      <c r="AG2" s="351" t="s">
        <v>111</v>
      </c>
      <c r="AH2" s="352"/>
      <c r="AI2" s="351" t="s">
        <v>126</v>
      </c>
      <c r="AJ2" s="353"/>
      <c r="AK2" s="351" t="s">
        <v>111</v>
      </c>
      <c r="AL2" s="352"/>
      <c r="AM2" s="351" t="s">
        <v>126</v>
      </c>
      <c r="AN2" s="353"/>
      <c r="AO2" s="351" t="s">
        <v>111</v>
      </c>
      <c r="AP2" s="352"/>
      <c r="AQ2" s="351" t="s">
        <v>126</v>
      </c>
      <c r="AR2" s="353"/>
      <c r="AS2" s="351" t="s">
        <v>126</v>
      </c>
      <c r="AT2" s="353"/>
      <c r="AU2" s="90"/>
    </row>
    <row r="3" spans="1:47" ht="15.75" thickBot="1">
      <c r="A3" s="188" t="s">
        <v>215</v>
      </c>
      <c r="B3" s="187" t="s">
        <v>214</v>
      </c>
      <c r="C3" s="188" t="s">
        <v>215</v>
      </c>
      <c r="D3" s="187" t="s">
        <v>214</v>
      </c>
      <c r="E3" s="188" t="s">
        <v>215</v>
      </c>
      <c r="F3" s="187" t="s">
        <v>214</v>
      </c>
      <c r="G3" s="188" t="s">
        <v>215</v>
      </c>
      <c r="H3" s="187" t="s">
        <v>214</v>
      </c>
      <c r="I3" s="188" t="s">
        <v>215</v>
      </c>
      <c r="J3" s="187" t="s">
        <v>214</v>
      </c>
      <c r="K3" s="188" t="s">
        <v>215</v>
      </c>
      <c r="L3" s="187" t="s">
        <v>214</v>
      </c>
      <c r="M3" s="188" t="s">
        <v>215</v>
      </c>
      <c r="N3" s="187" t="s">
        <v>214</v>
      </c>
      <c r="O3" s="188" t="s">
        <v>215</v>
      </c>
      <c r="P3" s="187" t="s">
        <v>214</v>
      </c>
      <c r="Q3" s="188" t="s">
        <v>215</v>
      </c>
      <c r="R3" s="187" t="s">
        <v>214</v>
      </c>
      <c r="S3" s="188" t="s">
        <v>215</v>
      </c>
      <c r="T3" s="187" t="s">
        <v>214</v>
      </c>
      <c r="U3" s="188" t="s">
        <v>215</v>
      </c>
      <c r="V3" s="187" t="s">
        <v>214</v>
      </c>
      <c r="W3" s="188" t="s">
        <v>215</v>
      </c>
      <c r="X3" s="187" t="s">
        <v>214</v>
      </c>
      <c r="Y3" s="188" t="s">
        <v>215</v>
      </c>
      <c r="Z3" s="187" t="s">
        <v>214</v>
      </c>
      <c r="AA3" s="188" t="s">
        <v>215</v>
      </c>
      <c r="AB3" s="187" t="s">
        <v>214</v>
      </c>
      <c r="AC3" s="188" t="s">
        <v>215</v>
      </c>
      <c r="AD3" s="187" t="s">
        <v>214</v>
      </c>
      <c r="AE3" s="188" t="s">
        <v>215</v>
      </c>
      <c r="AF3" s="187" t="s">
        <v>214</v>
      </c>
      <c r="AG3" s="188" t="s">
        <v>215</v>
      </c>
      <c r="AH3" s="187" t="s">
        <v>214</v>
      </c>
      <c r="AI3" s="188" t="s">
        <v>215</v>
      </c>
      <c r="AJ3" s="187" t="s">
        <v>214</v>
      </c>
      <c r="AK3" s="188" t="s">
        <v>215</v>
      </c>
      <c r="AL3" s="187" t="s">
        <v>214</v>
      </c>
      <c r="AM3" s="188" t="s">
        <v>215</v>
      </c>
      <c r="AN3" s="187" t="s">
        <v>214</v>
      </c>
      <c r="AO3" s="188" t="s">
        <v>215</v>
      </c>
      <c r="AP3" s="187" t="s">
        <v>214</v>
      </c>
      <c r="AQ3" s="188" t="s">
        <v>215</v>
      </c>
      <c r="AR3" s="187" t="s">
        <v>214</v>
      </c>
      <c r="AS3" s="188" t="s">
        <v>215</v>
      </c>
      <c r="AT3" s="187" t="s">
        <v>214</v>
      </c>
      <c r="AU3" s="117"/>
    </row>
    <row r="4" spans="1:47" ht="15.75" thickBot="1">
      <c r="A4" s="110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3"/>
      <c r="AU4" s="118" t="s">
        <v>1</v>
      </c>
    </row>
    <row r="5" spans="1:47" ht="15.75" thickBot="1">
      <c r="A5" s="112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1"/>
      <c r="AS5" s="113"/>
      <c r="AT5" s="113"/>
      <c r="AU5" s="118" t="s">
        <v>2</v>
      </c>
    </row>
    <row r="6" spans="1:47" ht="15.75" thickBot="1">
      <c r="A6" s="112" t="str">
        <f>IF(AND(ABS(Dec!K7)&gt;קריטריונים!$B$2,Dec!B7&gt;קריטריונים!$B$3),Dec!K7,"")</f>
        <v/>
      </c>
      <c r="B6" s="113" t="str">
        <f>IF(AND(ABS(Dec!J7)&gt;קריטריונים!$B$2,Dec!B7&gt;קריטריונים!$B$3),Dec!J7,"")</f>
        <v/>
      </c>
      <c r="C6" s="113" t="str">
        <f>IF(AND(ABS(Dec!F7)&gt;קריטריונים!$B$1,Dec!B7&gt;קריטריונים!$B$3),Dec!F7,"")</f>
        <v/>
      </c>
      <c r="D6" s="113" t="str">
        <f>IF(AND(ABS(Dec!E7)&gt;קריטריונים!$B$1,Dec!B7&gt;קריטריונים!$B$3),Dec!E7,"")</f>
        <v/>
      </c>
      <c r="E6" s="113" t="str">
        <f>IF(AND(ABS(Nov!K7)&gt;קריטריונים!$B$2,Nov!B7&gt;קריטריונים!$B$3),Nov!K7,"")</f>
        <v/>
      </c>
      <c r="F6" s="113" t="str">
        <f>IF(AND(ABS(Nov!J7)&gt;קריטריונים!$B$2,Nov!B7&gt;קריטריונים!$B$3),Nov!J7,"")</f>
        <v/>
      </c>
      <c r="G6" s="113" t="str">
        <f>IF(AND(ABS(Nov!F7)&gt;קריטריונים!$B$1,Nov!B7&gt;קריטריונים!$B$3),Nov!F7,"")</f>
        <v/>
      </c>
      <c r="H6" s="113" t="str">
        <f>IF(AND(ABS(Nov!E7)&gt;קריטריונים!$B$1,Nov!B7&gt;קריטריונים!$B$3),Nov!E7,"")</f>
        <v/>
      </c>
      <c r="I6" s="113" t="str">
        <f>IF(AND(ABS(Oct!K7)&gt;קריטריונים!$B$2,Oct!B7&gt;קריטריונים!$B$3),Oct!K7,"")</f>
        <v/>
      </c>
      <c r="J6" s="113" t="str">
        <f>IF(AND(ABS(Oct!J7)&gt;קריטריונים!$B$2,Oct!B7&gt;קריטריונים!$B$3),Oct!J7,"")</f>
        <v/>
      </c>
      <c r="K6" s="113" t="str">
        <f>IF(AND(ABS(Oct!F7)&gt;קריטריונים!$B$1,Oct!B7&gt;קריטריונים!$B$3),Oct!F7,"")</f>
        <v/>
      </c>
      <c r="L6" s="113" t="str">
        <f>IF(AND(ABS(Oct!E7)&gt;קריטריונים!$B$1,Oct!B7&gt;קריטריונים!$B$3),Oct!E7,"")</f>
        <v/>
      </c>
      <c r="M6" s="113" t="str">
        <f>IF(AND(ABS(Sep!K7)&gt;קריטריונים!$B$2,Sep!B7&gt;קריטריונים!$B$3),Sep!K7,"")</f>
        <v/>
      </c>
      <c r="N6" s="113" t="str">
        <f>IF(AND(ABS(Sep!J7)&gt;קריטריונים!$B$2,Sep!B7&gt;קריטריונים!$B$3),Sep!J7,"")</f>
        <v/>
      </c>
      <c r="O6" s="113" t="str">
        <f>IF(AND(ABS(Sep!F7)&gt;קריטריונים!$B$1,Sep!B7&gt;קריטריונים!$B$3),Sep!F7,"")</f>
        <v/>
      </c>
      <c r="P6" s="113" t="str">
        <f>IF(AND(ABS(Sep!E7)&gt;קריטריונים!$B$1,Sep!B7&gt;קריטריונים!$B$3),Sep!E7,"")</f>
        <v/>
      </c>
      <c r="Q6" s="113" t="str">
        <f>IF(AND(ABS(Aug!K7)&gt;קריטריונים!$B$2,Aug!B7&gt;קריטריונים!$B$3),Aug!K7,"")</f>
        <v/>
      </c>
      <c r="R6" s="113" t="str">
        <f>IF(AND(ABS(Aug!J7)&gt;קריטריונים!$B$2,Aug!B7&gt;קריטריונים!$B$3),Aug!J7,"")</f>
        <v/>
      </c>
      <c r="S6" s="113" t="str">
        <f>IF(AND(ABS(Aug!F7)&gt;קריטריונים!$B$1,Aug!B7&gt;קריטריונים!$B$3),Aug!F7,"")</f>
        <v/>
      </c>
      <c r="T6" s="113" t="str">
        <f>IF(AND(ABS(Aug!E7)&gt;קריטריונים!$B$1,Aug!B7&gt;קריטריונים!$B$3),Aug!E7,"")</f>
        <v/>
      </c>
      <c r="U6" s="113" t="str">
        <f>IF(AND(ABS(Jul!K7)&gt;קריטריונים!$B$2,Jul!B7&gt;קריטריונים!$B$3),Jul!K7,"")</f>
        <v/>
      </c>
      <c r="V6" s="113" t="str">
        <f>IF(AND(ABS(Jul!J7)&gt;קריטריונים!$B$2,Jul!B7&gt;קריטריונים!$B$3),Jul!J7,"")</f>
        <v/>
      </c>
      <c r="W6" s="113" t="str">
        <f>IF(AND(ABS(Jul!F7)&gt;קריטריונים!$B$1,Jul!B7&gt;קריטריונים!$B$3),Jul!F7,"")</f>
        <v/>
      </c>
      <c r="X6" s="113" t="str">
        <f>IF(AND(ABS(Jul!E7)&gt;קריטריונים!$B$1,Jul!B7&gt;קריטריונים!$B$3),Jul!E7,"")</f>
        <v/>
      </c>
      <c r="Y6" s="113" t="str">
        <f>IF(AND(ABS(Jun!K7)&gt;קריטריונים!$B$2,Jun!B7&gt;קריטריונים!$B$3),Jun!K7,"")</f>
        <v/>
      </c>
      <c r="Z6" s="113" t="str">
        <f>IF(AND(ABS(Jun!J7)&gt;קריטריונים!$B$2,Jun!B7&gt;קריטריונים!$B$3),Jun!J7,"")</f>
        <v/>
      </c>
      <c r="AA6" s="113" t="str">
        <f>IF(AND(ABS(Jun!F7)&gt;קריטריונים!$B$1,Jun!B7&gt;קריטריונים!$B$3),Jun!F7,"")</f>
        <v/>
      </c>
      <c r="AB6" s="113" t="str">
        <f>IF(AND(ABS(Jun!E7)&gt;קריטריונים!$B$1,Jun!B7&gt;קריטריונים!$B$3),Jun!E7,"")</f>
        <v/>
      </c>
      <c r="AC6" s="113" t="str">
        <f>IF(AND(ABS(May!K7)&gt;קריטריונים!$B$2,May!B7&gt;קריטריונים!$B$3),May!K7,"")</f>
        <v/>
      </c>
      <c r="AD6" s="113" t="str">
        <f>IF(AND(ABS(May!J7)&gt;קריטריונים!$B$2,May!B7&gt;קריטריונים!$B$3),May!J7,"")</f>
        <v/>
      </c>
      <c r="AE6" s="113" t="str">
        <f>IF(AND(ABS(May!F7)&gt;קריטריונים!$B$1,May!B7&gt;קריטריונים!$B$3),May!F7,"")</f>
        <v/>
      </c>
      <c r="AF6" s="113" t="str">
        <f>IF(AND(ABS(May!E7)&gt;קריטריונים!$B$1,May!B7&gt;קריטריונים!$B$3),May!E7,"")</f>
        <v/>
      </c>
      <c r="AG6" s="113" t="str">
        <f>IF(AND(ABS(Apr!K7)&gt;קריטריונים!$B$2,Apr!B7&gt;קריטריונים!$B$3),Apr!K7,"")</f>
        <v/>
      </c>
      <c r="AH6" s="113" t="str">
        <f>IF(AND(ABS(Apr!J7)&gt;קריטריונים!$B$2,Apr!B7&gt;קריטריונים!$B$3),Apr!J7,"")</f>
        <v/>
      </c>
      <c r="AI6" s="113" t="str">
        <f>IF(AND(ABS(Apr!F7)&gt;קריטריונים!$B$1,Apr!B7&gt;קריטריונים!$B$3),Apr!F7,"")</f>
        <v/>
      </c>
      <c r="AJ6" s="113" t="str">
        <f>IF(AND(ABS(Apr!E7)&gt;קריטריונים!$B$1,Apr!B7&gt;קריטריונים!$B$3),Apr!E7,"")</f>
        <v/>
      </c>
      <c r="AK6" s="113" t="str">
        <f>IF(AND(ABS(Mar!K7)&gt;קריטריונים!$B$2,Mar!B7&gt;קריטריונים!$B$3),Mar!K7,"")</f>
        <v/>
      </c>
      <c r="AL6" s="113" t="str">
        <f>IF(AND(ABS(Mar!J7)&gt;קריטריונים!$B$2,Mar!B7&gt;קריטריונים!$B$3),Mar!J7,"")</f>
        <v/>
      </c>
      <c r="AM6" s="113" t="str">
        <f>IF(AND(ABS(Mar!F7)&gt;קריטריונים!$B$1,Mar!B7&gt;קריטריונים!$B$3),Mar!F7,"")</f>
        <v/>
      </c>
      <c r="AN6" s="113" t="str">
        <f>IF(AND(ABS(Mar!E7)&gt;קריטריונים!$B$1,Mar!B7&gt;קריטריונים!$B$3),Mar!E7,"")</f>
        <v/>
      </c>
      <c r="AO6" s="113" t="str">
        <f>IF(AND(ABS(Feb!K7)&gt;קריטריונים!$B$2,Feb!B7&gt;קריטריונים!$B$3),Feb!K7,"")</f>
        <v/>
      </c>
      <c r="AP6" s="113" t="str">
        <f>IF(AND(ABS(Feb!J7)&gt;קריטריונים!$B$2,Feb!B7&gt;קריטריונים!$B$3),Feb!J7,"")</f>
        <v/>
      </c>
      <c r="AQ6" s="113" t="str">
        <f>IF(AND(ABS(Feb!F7)&gt;קריטריונים!$B$1,Feb!B7&gt;קריטריונים!$B$3),Feb!F7,"")</f>
        <v/>
      </c>
      <c r="AR6" s="111"/>
      <c r="AS6" s="113"/>
      <c r="AT6" s="103"/>
      <c r="AU6" s="118"/>
    </row>
    <row r="7" spans="1:47">
      <c r="A7" s="112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1"/>
      <c r="AS7" s="113"/>
      <c r="AT7" s="103"/>
      <c r="AU7" s="118" t="s">
        <v>3</v>
      </c>
    </row>
    <row r="8" spans="1:47">
      <c r="A8" s="112" t="str">
        <f>IF(AND(ABS(Dec!K9)&gt;קריטריונים!$B$2,Dec!B9&gt;קריטריונים!$B$3),Dec!K9,"")</f>
        <v/>
      </c>
      <c r="B8" s="113" t="str">
        <f>IF(AND(ABS(Dec!J9)&gt;קריטריונים!$B$2,Dec!B9&gt;קריטריונים!$B$3),Dec!J9,"")</f>
        <v/>
      </c>
      <c r="C8" s="113" t="str">
        <f>IF(AND(ABS(Dec!F9)&gt;קריטריונים!$B$1,Dec!B9&gt;קריטריונים!$B$3),Dec!F9,"")</f>
        <v/>
      </c>
      <c r="D8" s="113" t="str">
        <f>IF(AND(ABS(Dec!E9)&gt;קריטריונים!$B$1,Dec!B9&gt;קריטריונים!$B$3),Dec!E9,"")</f>
        <v/>
      </c>
      <c r="E8" s="113">
        <f>IF(AND(ABS(Nov!K9)&gt;קריטריונים!$B$2,Nov!B9&gt;קריטריונים!$B$3),Nov!K9,"")</f>
        <v>0.4613834788448623</v>
      </c>
      <c r="F8" s="113">
        <f>IF(AND(ABS(Nov!J9)&gt;קריטריונים!$B$2,Nov!B9&gt;קריטריונים!$B$3),Nov!J9,"")</f>
        <v>0.29342114648470008</v>
      </c>
      <c r="G8" s="113">
        <f>IF(AND(ABS(Nov!F9)&gt;קריטריונים!$B$1,Nov!B9&gt;קריטריונים!$B$3),Nov!F9,"")</f>
        <v>0.58394931362196423</v>
      </c>
      <c r="H8" s="113">
        <f>IF(AND(ABS(Nov!E9)&gt;קריטריונים!$B$1,Nov!B9&gt;קריטריונים!$B$3),Nov!E9,"")</f>
        <v>7.5847229693383644E-2</v>
      </c>
      <c r="I8" s="113">
        <f>IF(AND(ABS(Oct!K9)&gt;קריטריונים!$B$2,Oct!B9&gt;קריטריונים!$B$3),Oct!K9,"")</f>
        <v>0.44749828034811734</v>
      </c>
      <c r="J8" s="113">
        <f>IF(AND(ABS(Oct!J9)&gt;קריטריונים!$B$2,Oct!B9&gt;קריטריונים!$B$3),Oct!J9,"")</f>
        <v>0.32668165122526172</v>
      </c>
      <c r="K8" s="113">
        <f>IF(AND(ABS(Oct!F9)&gt;קריטריונים!$B$1,Oct!B9&gt;קריטריונים!$B$3),Oct!F9,"")</f>
        <v>0.63994840611756043</v>
      </c>
      <c r="L8" s="113">
        <f>IF(AND(ABS(Oct!E9)&gt;קריטריונים!$B$1,Oct!B9&gt;קריטריונים!$B$3),Oct!E9,"")</f>
        <v>0.56332337958896916</v>
      </c>
      <c r="M8" s="113">
        <f>IF(AND(ABS(Sep!K9)&gt;קריטריונים!$B$2,Sep!B9&gt;קריטריונים!$B$3),Sep!K9,"")</f>
        <v>0.41021063905747934</v>
      </c>
      <c r="N8" s="113">
        <f>IF(AND(ABS(Sep!J9)&gt;קריטריונים!$B$2,Sep!B9&gt;קריטריונים!$B$3),Sep!J9,"")</f>
        <v>0.28292572022475571</v>
      </c>
      <c r="O8" s="113">
        <f>IF(AND(ABS(Sep!F9)&gt;קריטריונים!$B$1,Sep!B9&gt;קריטריונים!$B$3),Sep!F9,"")</f>
        <v>0.6122531237404274</v>
      </c>
      <c r="P8" s="113">
        <f>IF(AND(ABS(Sep!E9)&gt;קריטריונים!$B$1,Sep!B9&gt;קריטריונים!$B$3),Sep!E9,"")</f>
        <v>-9.9504727600180143E-2</v>
      </c>
      <c r="Q8" s="113">
        <f>IF(AND(ABS(Aug!K9)&gt;קריטריונים!$B$2,Aug!B9&gt;קריטריונים!$B$3),Aug!K9,"")</f>
        <v>0.3905754240275765</v>
      </c>
      <c r="R8" s="113">
        <f>IF(AND(ABS(Aug!J9)&gt;קריטריונים!$B$2,Aug!B9&gt;קריטריונים!$B$3),Aug!J9,"")</f>
        <v>0.34740198125023736</v>
      </c>
      <c r="S8" s="113">
        <f>IF(AND(ABS(Aug!F9)&gt;קריטריונים!$B$1,Aug!B9&gt;קריטריונים!$B$3),Aug!F9,"")</f>
        <v>1.5228426395939243E-2</v>
      </c>
      <c r="T8" s="113">
        <f>IF(AND(ABS(Aug!E9)&gt;קריטריונים!$B$1,Aug!B9&gt;קריטריונים!$B$3),Aug!E9,"")</f>
        <v>0.54373927958833623</v>
      </c>
      <c r="U8" s="113">
        <f>IF(AND(ABS(Jul!K9)&gt;קריטריונים!$B$2,Jul!B9&gt;קריטריונים!$B$3),Jul!K9,"")</f>
        <v>0.32006737435857269</v>
      </c>
      <c r="V8" s="113">
        <f>IF(AND(ABS(Jul!J9)&gt;קריטריונים!$B$2,Jul!B9&gt;קריטריונים!$B$3),Jul!J9,"")</f>
        <v>0.3383106310313333</v>
      </c>
      <c r="W8" s="113">
        <f>IF(AND(ABS(Jul!F9)&gt;קריטריונים!$B$1,Jul!B9&gt;קריטריונים!$B$3),Jul!F9,"")</f>
        <v>0.3777267508610791</v>
      </c>
      <c r="X8" s="113">
        <f>IF(AND(ABS(Jul!E9)&gt;קריטריונים!$B$1,Jul!B9&gt;קריטריונים!$B$3),Jul!E9,"")</f>
        <v>0.17531831537708142</v>
      </c>
      <c r="Y8" s="113">
        <f>IF(AND(ABS(Jun!K9)&gt;קריטריונים!$B$2,Jun!B9&gt;קריטריונים!$B$3),Jun!K9,"")</f>
        <v>0.41673833340877198</v>
      </c>
      <c r="Z8" s="113">
        <f>IF(AND(ABS(Jun!J9)&gt;קריטריונים!$B$2,Jun!B9&gt;קריטריונים!$B$3),Jun!J9,"")</f>
        <v>0.35269458489995253</v>
      </c>
      <c r="AA8" s="113">
        <f>IF(AND(ABS(Jun!F9)&gt;קריטריונים!$B$1,Jun!B9&gt;קריטריונים!$B$3),Jun!F9,"")</f>
        <v>0.67624521072796928</v>
      </c>
      <c r="AB8" s="113">
        <f>IF(AND(ABS(Jun!E9)&gt;קריטריונים!$B$1,Jun!B9&gt;קריטריונים!$B$3),Jun!E9,"")</f>
        <v>0.74825174825174834</v>
      </c>
      <c r="AC8" s="113">
        <f>IF(AND(ABS(May!K9)&gt;קריטריונים!$B$2,May!B9&gt;קריטריונים!$B$3),May!K9,"")</f>
        <v>0.39516209976914585</v>
      </c>
      <c r="AD8" s="113">
        <f>IF(AND(ABS(May!J9)&gt;קריטריונים!$B$2,May!B9&gt;קריטריונים!$B$3),May!J9,"")</f>
        <v>0.31522921890523725</v>
      </c>
      <c r="AE8" s="113">
        <f>IF(AND(ABS(May!F9)&gt;קריטריונים!$B$1,May!B9&gt;קריטריונים!$B$3),May!F9,"")</f>
        <v>0.56929019797199398</v>
      </c>
      <c r="AF8" s="113">
        <f>IF(AND(ABS(May!E9)&gt;קריטריונים!$B$1,May!B9&gt;קריטריונים!$B$3),May!E9,"")</f>
        <v>0.39890239965565488</v>
      </c>
      <c r="AG8" s="113">
        <f>IF(AND(ABS(Apr!K9)&gt;קריטריונים!$B$2,Apr!B9&gt;קריטריונים!$B$3),Apr!K9,"")</f>
        <v>0.27125923380862416</v>
      </c>
      <c r="AH8" s="113">
        <f>IF(AND(ABS(Apr!J9)&gt;קריטריונים!$B$2,Apr!B9&gt;קריטריונים!$B$3),Apr!J9,"")</f>
        <v>0.24957784532252614</v>
      </c>
      <c r="AI8" s="113">
        <f>IF(AND(ABS(Apr!F9)&gt;קריטריונים!$B$1,Apr!B9&gt;קריטריונים!$B$3),Apr!F9,"")</f>
        <v>6.9958847736625529E-2</v>
      </c>
      <c r="AJ8" s="113">
        <f>IF(AND(ABS(Apr!E9)&gt;קריטריונים!$B$1,Apr!B9&gt;קריטריונים!$B$3),Apr!E9,"")</f>
        <v>0.19970468807678099</v>
      </c>
      <c r="AK8" s="113">
        <f>IF(AND(ABS(Mar!K9)&gt;קריטריונים!$B$2,Mar!B9&gt;קריטריונים!$B$3),Mar!K9,"")</f>
        <v>0.49092868690497582</v>
      </c>
      <c r="AL8" s="113">
        <f>IF(AND(ABS(Mar!J9)&gt;קריטריונים!$B$2,Mar!B9&gt;קריטריונים!$B$3),Mar!J9,"")</f>
        <v>0.29162776221599751</v>
      </c>
      <c r="AM8" s="113">
        <f>IF(AND(ABS(Mar!F9)&gt;קריטריונים!$B$1,Mar!B9&gt;קריטריונים!$B$3),Mar!F9,"")</f>
        <v>0.93032015065913343</v>
      </c>
      <c r="AN8" s="113">
        <f>IF(AND(ABS(Mar!E9)&gt;קריטריונים!$B$1,Mar!B9&gt;קריטריונים!$B$3),Mar!E9,"")</f>
        <v>0.46795560329394892</v>
      </c>
      <c r="AO8" s="113">
        <f>IF(AND(ABS(Feb!K9)&gt;קריטריונים!$B$2,Feb!B9&gt;קריטריונים!$B$3),Feb!K9,"")</f>
        <v>0.21986639558524557</v>
      </c>
      <c r="AP8" s="113">
        <f>IF(AND(ABS(Feb!J9)&gt;קריטריונים!$B$2,Feb!B9&gt;קריטריונים!$B$3),Feb!J9,"")</f>
        <v>0.1560693641618498</v>
      </c>
      <c r="AQ8" s="113">
        <f>IF(AND(ABS(Feb!F9)&gt;קריטריונים!$B$1,Feb!B9&gt;קריטריונים!$B$3),Feb!F9,"")</f>
        <v>0.17244748412310695</v>
      </c>
      <c r="AR8" s="113">
        <f>IF(AND(ABS(Feb!G9)&gt;קריטריונים!$B$1,Feb!C9&gt;קריטריונים!$B$3),Feb!G9,"")</f>
        <v>4.2</v>
      </c>
      <c r="AS8" s="113">
        <f>IF(AND(ABS(Feb!H9)&gt;קריטריונים!$B$1,Feb!D9&gt;קריטריונים!$B$3),Feb!H9,"")</f>
        <v>3.633</v>
      </c>
      <c r="AT8" s="103">
        <f>IF(AND(ABS(Jan!E9)&gt;קריטריונים!$B$1,Jan!B9&gt;קריטריונים!$B$3),Jan!E9,"")</f>
        <v>7.2066706372841072E-2</v>
      </c>
      <c r="AU8" s="118" t="s">
        <v>4</v>
      </c>
    </row>
    <row r="9" spans="1:47">
      <c r="A9" s="112" t="str">
        <f>IF(AND(ABS(Dec!K10)&gt;קריטריונים!$B$2,Dec!B10&gt;קריטריונים!$B$3),Dec!K10,"")</f>
        <v/>
      </c>
      <c r="B9" s="113" t="str">
        <f>IF(AND(ABS(Dec!J10)&gt;קריטריונים!$B$2,Dec!B10&gt;קריטריונים!$B$3),Dec!J10,"")</f>
        <v/>
      </c>
      <c r="C9" s="113" t="str">
        <f>IF(AND(ABS(Dec!F10)&gt;קריטריונים!$B$1,Dec!B10&gt;קריטריונים!$B$3),Dec!F10,"")</f>
        <v/>
      </c>
      <c r="D9" s="113" t="str">
        <f>IF(AND(ABS(Dec!E10)&gt;קריטריונים!$B$1,Dec!B10&gt;קריטריונים!$B$3),Dec!E10,"")</f>
        <v/>
      </c>
      <c r="E9" s="113">
        <f>IF(AND(ABS(Nov!K10)&gt;קריטריונים!$B$2,Nov!B10&gt;קריטריונים!$B$3),Nov!K10,"")</f>
        <v>0.88172043010752676</v>
      </c>
      <c r="F9" s="113">
        <f>IF(AND(ABS(Nov!J10)&gt;קריטריונים!$B$2,Nov!B10&gt;קריטריונים!$B$3),Nov!J10,"")</f>
        <v>0.3135448652337085</v>
      </c>
      <c r="G9" s="113">
        <f>IF(AND(ABS(Nov!F10)&gt;קריטריונים!$B$1,Nov!B10&gt;קריטריונים!$B$3),Nov!F10,"")</f>
        <v>1.5157232704402515</v>
      </c>
      <c r="H9" s="113">
        <f>IF(AND(ABS(Nov!E10)&gt;קריטריונים!$B$1,Nov!B10&gt;קריטריונים!$B$3),Nov!E10,"")</f>
        <v>0.18226600985221686</v>
      </c>
      <c r="I9" s="113" t="str">
        <f>IF(AND(ABS(Oct!K10)&gt;קריטריונים!$B$2,Oct!B10&gt;קריטריונים!$B$3),Oct!K10,"")</f>
        <v/>
      </c>
      <c r="J9" s="113" t="str">
        <f>IF(AND(ABS(Oct!J10)&gt;קריטריונים!$B$2,Oct!B10&gt;קריטריונים!$B$3),Oct!J10,"")</f>
        <v/>
      </c>
      <c r="K9" s="113" t="str">
        <f>IF(AND(ABS(Oct!F10)&gt;קריטריונים!$B$1,Oct!B10&gt;קריטריונים!$B$3),Oct!F10,"")</f>
        <v/>
      </c>
      <c r="L9" s="113" t="str">
        <f>IF(AND(ABS(Oct!E10)&gt;קריטריונים!$B$1,Oct!B10&gt;קריטריונים!$B$3),Oct!E10,"")</f>
        <v/>
      </c>
      <c r="M9" s="113" t="str">
        <f>IF(AND(ABS(Sep!K10)&gt;קריטריונים!$B$2,Sep!B10&gt;קריטריונים!$B$3),Sep!K10,"")</f>
        <v/>
      </c>
      <c r="N9" s="113" t="str">
        <f>IF(AND(ABS(Sep!J10)&gt;קריטריונים!$B$2,Sep!B10&gt;קריטריונים!$B$3),Sep!J10,"")</f>
        <v/>
      </c>
      <c r="O9" s="113" t="str">
        <f>IF(AND(ABS(Sep!F10)&gt;קריטריונים!$B$1,Sep!B10&gt;קריטריונים!$B$3),Sep!F10,"")</f>
        <v/>
      </c>
      <c r="P9" s="113" t="str">
        <f>IF(AND(ABS(Sep!E10)&gt;קריטריונים!$B$1,Sep!B10&gt;קריטריונים!$B$3),Sep!E10,"")</f>
        <v/>
      </c>
      <c r="Q9" s="113" t="str">
        <f>IF(AND(ABS(Aug!K10)&gt;קריטריונים!$B$2,Aug!B10&gt;קריטריונים!$B$3),Aug!K10,"")</f>
        <v/>
      </c>
      <c r="R9" s="113" t="str">
        <f>IF(AND(ABS(Aug!J10)&gt;קריטריונים!$B$2,Aug!B10&gt;קריטריונים!$B$3),Aug!J10,"")</f>
        <v/>
      </c>
      <c r="S9" s="113" t="str">
        <f>IF(AND(ABS(Aug!F10)&gt;קריטריונים!$B$1,Aug!B10&gt;קריטריונים!$B$3),Aug!F10,"")</f>
        <v/>
      </c>
      <c r="T9" s="113" t="str">
        <f>IF(AND(ABS(Aug!E10)&gt;קריטריונים!$B$1,Aug!B10&gt;קריטריונים!$B$3),Aug!E10,"")</f>
        <v/>
      </c>
      <c r="U9" s="113" t="str">
        <f>IF(AND(ABS(Jul!K10)&gt;קריטריונים!$B$2,Jul!B10&gt;קריטריונים!$B$3),Jul!K10,"")</f>
        <v/>
      </c>
      <c r="V9" s="113" t="str">
        <f>IF(AND(ABS(Jul!J10)&gt;קריטריונים!$B$2,Jul!B10&gt;קריטריונים!$B$3),Jul!J10,"")</f>
        <v/>
      </c>
      <c r="W9" s="113" t="str">
        <f>IF(AND(ABS(Jul!F10)&gt;קריטריונים!$B$1,Jul!B10&gt;קריטריונים!$B$3),Jul!F10,"")</f>
        <v/>
      </c>
      <c r="X9" s="113" t="str">
        <f>IF(AND(ABS(Jul!E10)&gt;קריטריונים!$B$1,Jul!B10&gt;קריטריונים!$B$3),Jul!E10,"")</f>
        <v/>
      </c>
      <c r="Y9" s="113" t="str">
        <f>IF(AND(ABS(Jun!K10)&gt;קריטריונים!$B$2,Jun!B10&gt;קריטריונים!$B$3),Jun!K10,"")</f>
        <v/>
      </c>
      <c r="Z9" s="113" t="str">
        <f>IF(AND(ABS(Jun!J10)&gt;קריטריונים!$B$2,Jun!B10&gt;קריטריונים!$B$3),Jun!J10,"")</f>
        <v/>
      </c>
      <c r="AA9" s="113" t="str">
        <f>IF(AND(ABS(Jun!F10)&gt;קריטריונים!$B$1,Jun!B10&gt;קריטריונים!$B$3),Jun!F10,"")</f>
        <v/>
      </c>
      <c r="AB9" s="113" t="str">
        <f>IF(AND(ABS(Jun!E10)&gt;קריטריונים!$B$1,Jun!B10&gt;קריטריונים!$B$3),Jun!E10,"")</f>
        <v/>
      </c>
      <c r="AC9" s="113" t="str">
        <f>IF(AND(ABS(May!K10)&gt;קריטריונים!$B$2,May!B10&gt;קריטריונים!$B$3),May!K10,"")</f>
        <v/>
      </c>
      <c r="AD9" s="113" t="str">
        <f>IF(AND(ABS(May!J10)&gt;קריטריונים!$B$2,May!B10&gt;קריטריונים!$B$3),May!J10,"")</f>
        <v/>
      </c>
      <c r="AE9" s="113" t="str">
        <f>IF(AND(ABS(May!F10)&gt;קריטריונים!$B$1,May!B10&gt;קריטריונים!$B$3),May!F10,"")</f>
        <v/>
      </c>
      <c r="AF9" s="113" t="str">
        <f>IF(AND(ABS(May!E10)&gt;קריטריונים!$B$1,May!B10&gt;קריטריונים!$B$3),May!E10,"")</f>
        <v/>
      </c>
      <c r="AG9" s="113" t="str">
        <f>IF(AND(ABS(Apr!K10)&gt;קריטריונים!$B$2,Apr!B10&gt;קריטריונים!$B$3),Apr!K10,"")</f>
        <v/>
      </c>
      <c r="AH9" s="113" t="str">
        <f>IF(AND(ABS(Apr!J10)&gt;קריטריונים!$B$2,Apr!B10&gt;קריטריונים!$B$3),Apr!J10,"")</f>
        <v/>
      </c>
      <c r="AI9" s="113" t="str">
        <f>IF(AND(ABS(Apr!F10)&gt;קריטריונים!$B$1,Apr!B10&gt;קריטריונים!$B$3),Apr!F10,"")</f>
        <v/>
      </c>
      <c r="AJ9" s="113" t="str">
        <f>IF(AND(ABS(Apr!E10)&gt;קריטריונים!$B$1,Apr!B10&gt;קריטריונים!$B$3),Apr!E10,"")</f>
        <v/>
      </c>
      <c r="AK9" s="113" t="str">
        <f>IF(AND(ABS(Mar!K10)&gt;קריטריונים!$B$2,Mar!B10&gt;קריטריונים!$B$3),Mar!K10,"")</f>
        <v/>
      </c>
      <c r="AL9" s="113" t="str">
        <f>IF(AND(ABS(Mar!J10)&gt;קריטריונים!$B$2,Mar!B10&gt;קריטריונים!$B$3),Mar!J10,"")</f>
        <v/>
      </c>
      <c r="AM9" s="113" t="str">
        <f>IF(AND(ABS(Mar!F10)&gt;קריטריונים!$B$1,Mar!B10&gt;קריטריונים!$B$3),Mar!F10,"")</f>
        <v/>
      </c>
      <c r="AN9" s="113" t="str">
        <f>IF(AND(ABS(Mar!E10)&gt;קריטריונים!$B$1,Mar!B10&gt;קריטריונים!$B$3),Mar!E10,"")</f>
        <v/>
      </c>
      <c r="AO9" s="113" t="str">
        <f>IF(AND(ABS(Feb!K10)&gt;קריטריונים!$B$2,Feb!B10&gt;קריטריונים!$B$3),Feb!K10,"")</f>
        <v/>
      </c>
      <c r="AP9" s="113" t="str">
        <f>IF(AND(ABS(Feb!J10)&gt;קריטריונים!$B$2,Feb!B10&gt;קריטריונים!$B$3),Feb!J10,"")</f>
        <v/>
      </c>
      <c r="AQ9" s="113" t="str">
        <f>IF(AND(ABS(Feb!F10)&gt;קריטריונים!$B$1,Feb!B10&gt;קריטריונים!$B$3),Feb!F10,"")</f>
        <v/>
      </c>
      <c r="AR9" s="113" t="str">
        <f>IF(AND(ABS(Feb!G10)&gt;קריטריונים!$B$1,Feb!C10&gt;קריטריונים!$B$3),Feb!G10,"")</f>
        <v/>
      </c>
      <c r="AS9" s="113" t="str">
        <f>IF(AND(ABS(Feb!H10)&gt;קריטריונים!$B$1,Feb!D10&gt;קריטריונים!$B$3),Feb!H10,"")</f>
        <v/>
      </c>
      <c r="AT9" s="103" t="str">
        <f>IF(AND(ABS(Jan!E10)&gt;קריטריונים!$B$1,Jan!B10&gt;קריטריונים!$B$3),Jan!E10,"")</f>
        <v/>
      </c>
      <c r="AU9" s="118" t="s">
        <v>5</v>
      </c>
    </row>
    <row r="10" spans="1:47">
      <c r="A10" s="112" t="str">
        <f>IF(AND(ABS(Dec!K11)&gt;קריטריונים!$B$2,Dec!B11&gt;קריטריונים!$B$3),Dec!K11,"")</f>
        <v/>
      </c>
      <c r="B10" s="113" t="str">
        <f>IF(AND(ABS(Dec!J11)&gt;קריטריונים!$B$2,Dec!B11&gt;קריטריונים!$B$3),Dec!J11,"")</f>
        <v/>
      </c>
      <c r="C10" s="113" t="str">
        <f>IF(AND(ABS(Dec!F11)&gt;קריטריונים!$B$1,Dec!B11&gt;קריטריונים!$B$3),Dec!F11,"")</f>
        <v/>
      </c>
      <c r="D10" s="113" t="str">
        <f>IF(AND(ABS(Dec!E11)&gt;קריטריונים!$B$1,Dec!B11&gt;קריטריונים!$B$3),Dec!E11,"")</f>
        <v/>
      </c>
      <c r="E10" s="113">
        <f>IF(AND(ABS(Nov!K11)&gt;קריטריונים!$B$2,Nov!B11&gt;קריטריונים!$B$3),Nov!K11,"")</f>
        <v>0.66226503029361505</v>
      </c>
      <c r="F10" s="113">
        <f>IF(AND(ABS(Nov!J11)&gt;קריטריונים!$B$2,Nov!B11&gt;קריטריונים!$B$3),Nov!J11,"")</f>
        <v>0.65840049597024164</v>
      </c>
      <c r="G10" s="113">
        <f>IF(AND(ABS(Nov!F11)&gt;קריטריונים!$B$1,Nov!B11&gt;קריטריונים!$B$3),Nov!F11,"")</f>
        <v>1.1972406745017881</v>
      </c>
      <c r="H10" s="113">
        <f>IF(AND(ABS(Nov!E11)&gt;קריטריונים!$B$1,Nov!B11&gt;קריטריונים!$B$3),Nov!E11,"")</f>
        <v>0.50244584206848342</v>
      </c>
      <c r="I10" s="113">
        <f>IF(AND(ABS(Oct!K11)&gt;קריטריונים!$B$2,Oct!B11&gt;קריטריונים!$B$3),Oct!K11,"")</f>
        <v>0.60193615304828874</v>
      </c>
      <c r="J10" s="113">
        <f>IF(AND(ABS(Oct!J11)&gt;קריטריונים!$B$2,Oct!B11&gt;קריטריונים!$B$3),Oct!J11,"")</f>
        <v>0.68546137989571965</v>
      </c>
      <c r="K10" s="113">
        <f>IF(AND(ABS(Oct!F11)&gt;קריטריונים!$B$1,Oct!B11&gt;קריטריונים!$B$3),Oct!F11,"")</f>
        <v>0.4492753623188408</v>
      </c>
      <c r="L10" s="113">
        <f>IF(AND(ABS(Oct!E11)&gt;קריטריונים!$B$1,Oct!B11&gt;קריטריונים!$B$3),Oct!E11,"")</f>
        <v>0.47478591817316862</v>
      </c>
      <c r="M10" s="113">
        <f>IF(AND(ABS(Sep!K11)&gt;קריטריונים!$B$2,Sep!B11&gt;קריטריונים!$B$3),Sep!K11,"")</f>
        <v>0.62339796253697011</v>
      </c>
      <c r="N10" s="113">
        <f>IF(AND(ABS(Sep!J11)&gt;קריטריונים!$B$2,Sep!B11&gt;קריטריונים!$B$3),Sep!J11,"")</f>
        <v>0.71623123957754298</v>
      </c>
      <c r="O10" s="113">
        <f>IF(AND(ABS(Sep!F11)&gt;קריטריונים!$B$1,Sep!B11&gt;קריטריונים!$B$3),Sep!F11,"")</f>
        <v>0.21028744326777593</v>
      </c>
      <c r="P10" s="113">
        <f>IF(AND(ABS(Sep!E11)&gt;קריטריונים!$B$1,Sep!B11&gt;קריטריונים!$B$3),Sep!E11,"")</f>
        <v>0.41927853341218202</v>
      </c>
      <c r="Q10" s="113" t="str">
        <f>IF(AND(ABS(Aug!K11)&gt;קריטריונים!$B$2,Aug!B11&gt;קריטריונים!$B$3),Aug!K11,"")</f>
        <v/>
      </c>
      <c r="R10" s="113" t="str">
        <f>IF(AND(ABS(Aug!J11)&gt;קריטריונים!$B$2,Aug!B11&gt;קריטריונים!$B$3),Aug!J11,"")</f>
        <v/>
      </c>
      <c r="S10" s="113" t="str">
        <f>IF(AND(ABS(Aug!F11)&gt;קריטריונים!$B$1,Aug!B11&gt;קריטריונים!$B$3),Aug!F11,"")</f>
        <v/>
      </c>
      <c r="T10" s="113" t="str">
        <f>IF(AND(ABS(Aug!E11)&gt;קריטריונים!$B$1,Aug!B11&gt;קריטריונים!$B$3),Aug!E11,"")</f>
        <v/>
      </c>
      <c r="U10" s="113" t="str">
        <f>IF(AND(ABS(Jul!K11)&gt;קריטריונים!$B$2,Jul!B11&gt;קריטריונים!$B$3),Jul!K11,"")</f>
        <v/>
      </c>
      <c r="V10" s="113" t="str">
        <f>IF(AND(ABS(Jul!J11)&gt;קריטריונים!$B$2,Jul!B11&gt;קריטריונים!$B$3),Jul!J11,"")</f>
        <v/>
      </c>
      <c r="W10" s="113" t="str">
        <f>IF(AND(ABS(Jul!F11)&gt;קריטריונים!$B$1,Jul!B11&gt;קריטריונים!$B$3),Jul!F11,"")</f>
        <v/>
      </c>
      <c r="X10" s="113" t="str">
        <f>IF(AND(ABS(Jul!E11)&gt;קריטריונים!$B$1,Jul!B11&gt;קריטריונים!$B$3),Jul!E11,"")</f>
        <v/>
      </c>
      <c r="Y10" s="113">
        <f>IF(AND(ABS(Jun!K11)&gt;קריטריונים!$B$2,Jun!B11&gt;קריטריונים!$B$3),Jun!K11,"")</f>
        <v>0.80439330543933085</v>
      </c>
      <c r="Z10" s="113">
        <f>IF(AND(ABS(Jun!J11)&gt;קריטריונים!$B$2,Jun!B11&gt;קריטריונים!$B$3),Jun!J11,"")</f>
        <v>0.84196476241324092</v>
      </c>
      <c r="AA10" s="113">
        <f>IF(AND(ABS(Jun!F11)&gt;קריטריונים!$B$1,Jun!B11&gt;קריטריונים!$B$3),Jun!F11,"")</f>
        <v>0.77345537757437066</v>
      </c>
      <c r="AB10" s="113">
        <f>IF(AND(ABS(Jun!E11)&gt;קריטריונים!$B$1,Jun!B11&gt;קריטריונים!$B$3),Jun!E11,"")</f>
        <v>0.98717948717948723</v>
      </c>
      <c r="AC10" s="113">
        <f>IF(AND(ABS(May!K11)&gt;קריטריונים!$B$2,May!B11&gt;קריטריונים!$B$3),May!K11,"")</f>
        <v>0.81088589361045393</v>
      </c>
      <c r="AD10" s="113">
        <f>IF(AND(ABS(May!J11)&gt;קריטריונים!$B$2,May!B11&gt;קריטריונים!$B$3),May!J11,"")</f>
        <v>0.8185575532134739</v>
      </c>
      <c r="AE10" s="113">
        <f>IF(AND(ABS(May!F11)&gt;קריטריונים!$B$1,May!B11&gt;קריטריונים!$B$3),May!F11,"")</f>
        <v>0.11731843575418988</v>
      </c>
      <c r="AF10" s="113">
        <f>IF(AND(ABS(May!E11)&gt;קריטריונים!$B$1,May!B11&gt;קריטריונים!$B$3),May!E11,"")</f>
        <v>0.25673249551166943</v>
      </c>
      <c r="AG10" s="113">
        <f>IF(AND(ABS(Apr!K11)&gt;קריטריונים!$B$2,Apr!B11&gt;קריטריונים!$B$3),Apr!K11,"")</f>
        <v>1.0518508248994873</v>
      </c>
      <c r="AH10" s="113">
        <f>IF(AND(ABS(Apr!J11)&gt;קריטריונים!$B$2,Apr!B11&gt;קריטריונים!$B$3),Apr!J11,"")</f>
        <v>0.98657718120805371</v>
      </c>
      <c r="AI10" s="113">
        <f>IF(AND(ABS(Apr!F11)&gt;קריטריונים!$B$1,Apr!B11&gt;קריטריונים!$B$3),Apr!F11,"")</f>
        <v>0.66574125485841207</v>
      </c>
      <c r="AJ10" s="113">
        <f>IF(AND(ABS(Apr!E11)&gt;קריטריונים!$B$1,Apr!B11&gt;קריטריונים!$B$3),Apr!E11,"")</f>
        <v>0.60256410256410242</v>
      </c>
      <c r="AK10" s="113">
        <f>IF(AND(ABS(Mar!K11)&gt;קריטריונים!$B$2,Mar!B11&gt;קריטריונים!$B$3),Mar!K11,"")</f>
        <v>1.1803399852180343</v>
      </c>
      <c r="AL10" s="113">
        <f>IF(AND(ABS(Mar!J11)&gt;קריטריונים!$B$2,Mar!B11&gt;קריטריונים!$B$3),Mar!J11,"")</f>
        <v>1.1154535675869486</v>
      </c>
      <c r="AM10" s="113">
        <f>IF(AND(ABS(Mar!F11)&gt;קריטריונים!$B$1,Mar!B11&gt;קריטריונים!$B$3),Mar!F11,"")</f>
        <v>1.7813993915688831</v>
      </c>
      <c r="AN10" s="113">
        <f>IF(AND(ABS(Mar!E11)&gt;קריטריונים!$B$1,Mar!B11&gt;קריטריונים!$B$3),Mar!E11,"")</f>
        <v>1.2276366167768882</v>
      </c>
      <c r="AO10" s="113">
        <f>IF(AND(ABS(Feb!K11)&gt;קריטריונים!$B$2,Feb!B11&gt;קריטריונים!$B$3),Feb!K11,"")</f>
        <v>0.73577627772420473</v>
      </c>
      <c r="AP10" s="113">
        <f>IF(AND(ABS(Feb!J11)&gt;קריטריונים!$B$2,Feb!B11&gt;קריטריונים!$B$3),Feb!J11,"")</f>
        <v>0.99630314232902051</v>
      </c>
      <c r="AQ10" s="113">
        <f>IF(AND(ABS(Feb!F11)&gt;קריטריונים!$B$1,Feb!B11&gt;קריטריונים!$B$3),Feb!F11,"")</f>
        <v>0.56985871271585564</v>
      </c>
      <c r="AR10" s="113">
        <f>IF(AND(ABS(Feb!G11)&gt;קריטריונים!$B$1,Feb!C11&gt;קריטריונים!$B$3),Feb!G11,"")</f>
        <v>5.4</v>
      </c>
      <c r="AS10" s="113">
        <f>IF(AND(ABS(Feb!H11)&gt;קריטריונים!$B$1,Feb!D11&gt;קריטריונים!$B$3),Feb!H11,"")</f>
        <v>2.7050000000000001</v>
      </c>
      <c r="AT10" s="103">
        <f>IF(AND(ABS(Jan!E11)&gt;קריטריונים!$B$1,Jan!B11&gt;קריטריונים!$B$3),Jan!E11,"")</f>
        <v>1.3210831721470018</v>
      </c>
      <c r="AU10" s="118" t="s">
        <v>6</v>
      </c>
    </row>
    <row r="11" spans="1:47">
      <c r="A11" s="112" t="str">
        <f>IF(AND(ABS(Dec!K12)&gt;קריטריונים!$B$2,Dec!B12&gt;קריטריונים!$B$3),Dec!K12,"")</f>
        <v/>
      </c>
      <c r="B11" s="113" t="str">
        <f>IF(AND(ABS(Dec!J12)&gt;קריטריונים!$B$2,Dec!B12&gt;קריטריונים!$B$3),Dec!J12,"")</f>
        <v/>
      </c>
      <c r="C11" s="113" t="str">
        <f>IF(AND(ABS(Dec!F12)&gt;קריטריונים!$B$1,Dec!B12&gt;קריטריונים!$B$3),Dec!F12,"")</f>
        <v/>
      </c>
      <c r="D11" s="113" t="str">
        <f>IF(AND(ABS(Dec!E12)&gt;קריטריונים!$B$1,Dec!B12&gt;קריטריונים!$B$3),Dec!E12,"")</f>
        <v/>
      </c>
      <c r="E11" s="113" t="str">
        <f>IF(AND(ABS(Nov!K12)&gt;קריטריונים!$B$2,Nov!B12&gt;קריטריונים!$B$3),Nov!K12,"")</f>
        <v/>
      </c>
      <c r="F11" s="113" t="str">
        <f>IF(AND(ABS(Nov!J12)&gt;קריטריונים!$B$2,Nov!B12&gt;קריטריונים!$B$3),Nov!J12,"")</f>
        <v/>
      </c>
      <c r="G11" s="113" t="str">
        <f>IF(AND(ABS(Nov!F12)&gt;קריטריונים!$B$1,Nov!B12&gt;קריטריונים!$B$3),Nov!F12,"")</f>
        <v/>
      </c>
      <c r="H11" s="113" t="str">
        <f>IF(AND(ABS(Nov!E12)&gt;קריטריונים!$B$1,Nov!B12&gt;קריטריונים!$B$3),Nov!E12,"")</f>
        <v/>
      </c>
      <c r="I11" s="113" t="str">
        <f>IF(AND(ABS(Oct!K12)&gt;קריטריונים!$B$2,Oct!B12&gt;קריטריונים!$B$3),Oct!K12,"")</f>
        <v/>
      </c>
      <c r="J11" s="113" t="str">
        <f>IF(AND(ABS(Oct!J12)&gt;קריטריונים!$B$2,Oct!B12&gt;קריטריונים!$B$3),Oct!J12,"")</f>
        <v/>
      </c>
      <c r="K11" s="113" t="str">
        <f>IF(AND(ABS(Oct!F12)&gt;קריטריונים!$B$1,Oct!B12&gt;קריטריונים!$B$3),Oct!F12,"")</f>
        <v/>
      </c>
      <c r="L11" s="113" t="str">
        <f>IF(AND(ABS(Oct!E12)&gt;קריטריונים!$B$1,Oct!B12&gt;קריטריונים!$B$3),Oct!E12,"")</f>
        <v/>
      </c>
      <c r="M11" s="113" t="str">
        <f>IF(AND(ABS(Sep!K12)&gt;קריטריונים!$B$2,Sep!B12&gt;קריטריונים!$B$3),Sep!K12,"")</f>
        <v/>
      </c>
      <c r="N11" s="113" t="str">
        <f>IF(AND(ABS(Sep!J12)&gt;קריטריונים!$B$2,Sep!B12&gt;קריטריונים!$B$3),Sep!J12,"")</f>
        <v/>
      </c>
      <c r="O11" s="113" t="str">
        <f>IF(AND(ABS(Sep!F12)&gt;קריטריונים!$B$1,Sep!B12&gt;קריטריונים!$B$3),Sep!F12,"")</f>
        <v/>
      </c>
      <c r="P11" s="113" t="str">
        <f>IF(AND(ABS(Sep!E12)&gt;קריטריונים!$B$1,Sep!B12&gt;קריטריונים!$B$3),Sep!E12,"")</f>
        <v/>
      </c>
      <c r="Q11" s="113" t="str">
        <f>IF(AND(ABS(Aug!K12)&gt;קריטריונים!$B$2,Aug!B12&gt;קריטריונים!$B$3),Aug!K12,"")</f>
        <v/>
      </c>
      <c r="R11" s="113" t="str">
        <f>IF(AND(ABS(Aug!J12)&gt;קריטריונים!$B$2,Aug!B12&gt;קריטריונים!$B$3),Aug!J12,"")</f>
        <v/>
      </c>
      <c r="S11" s="113" t="str">
        <f>IF(AND(ABS(Aug!F12)&gt;קריטריונים!$B$1,Aug!B12&gt;קריטריונים!$B$3),Aug!F12,"")</f>
        <v/>
      </c>
      <c r="T11" s="113" t="str">
        <f>IF(AND(ABS(Aug!E12)&gt;קריטריונים!$B$1,Aug!B12&gt;קריטריונים!$B$3),Aug!E12,"")</f>
        <v/>
      </c>
      <c r="U11" s="113" t="str">
        <f>IF(AND(ABS(Jul!K12)&gt;קריטריונים!$B$2,Jul!B12&gt;קריטריונים!$B$3),Jul!K12,"")</f>
        <v/>
      </c>
      <c r="V11" s="113" t="str">
        <f>IF(AND(ABS(Jul!J12)&gt;קריטריונים!$B$2,Jul!B12&gt;קריטריונים!$B$3),Jul!J12,"")</f>
        <v/>
      </c>
      <c r="W11" s="113" t="str">
        <f>IF(AND(ABS(Jul!F12)&gt;קריטריונים!$B$1,Jul!B12&gt;קריטריונים!$B$3),Jul!F12,"")</f>
        <v/>
      </c>
      <c r="X11" s="113" t="str">
        <f>IF(AND(ABS(Jul!E12)&gt;קריטריונים!$B$1,Jul!B12&gt;קריטריונים!$B$3),Jul!E12,"")</f>
        <v/>
      </c>
      <c r="Y11" s="113" t="str">
        <f>IF(AND(ABS(Jun!K12)&gt;קריטריונים!$B$2,Jun!B12&gt;קריטריונים!$B$3),Jun!K12,"")</f>
        <v/>
      </c>
      <c r="Z11" s="113" t="str">
        <f>IF(AND(ABS(Jun!J12)&gt;קריטריונים!$B$2,Jun!B12&gt;קריטריונים!$B$3),Jun!J12,"")</f>
        <v/>
      </c>
      <c r="AA11" s="113" t="str">
        <f>IF(AND(ABS(Jun!F12)&gt;קריטריונים!$B$1,Jun!B12&gt;קריטריונים!$B$3),Jun!F12,"")</f>
        <v/>
      </c>
      <c r="AB11" s="113" t="str">
        <f>IF(AND(ABS(Jun!E12)&gt;קריטריונים!$B$1,Jun!B12&gt;קריטריונים!$B$3),Jun!E12,"")</f>
        <v/>
      </c>
      <c r="AC11" s="113" t="str">
        <f>IF(AND(ABS(May!K12)&gt;קריטריונים!$B$2,May!B12&gt;קריטריונים!$B$3),May!K12,"")</f>
        <v/>
      </c>
      <c r="AD11" s="113" t="str">
        <f>IF(AND(ABS(May!J12)&gt;קריטריונים!$B$2,May!B12&gt;קריטריונים!$B$3),May!J12,"")</f>
        <v/>
      </c>
      <c r="AE11" s="113" t="str">
        <f>IF(AND(ABS(May!F12)&gt;קריטריונים!$B$1,May!B12&gt;קריטריונים!$B$3),May!F12,"")</f>
        <v/>
      </c>
      <c r="AF11" s="113" t="str">
        <f>IF(AND(ABS(May!E12)&gt;קריטריונים!$B$1,May!B12&gt;קריטריונים!$B$3),May!E12,"")</f>
        <v/>
      </c>
      <c r="AG11" s="113" t="str">
        <f>IF(AND(ABS(Apr!K12)&gt;קריטריונים!$B$2,Apr!B12&gt;קריטריונים!$B$3),Apr!K12,"")</f>
        <v/>
      </c>
      <c r="AH11" s="113" t="str">
        <f>IF(AND(ABS(Apr!J12)&gt;קריטריונים!$B$2,Apr!B12&gt;קריטריונים!$B$3),Apr!J12,"")</f>
        <v/>
      </c>
      <c r="AI11" s="113" t="str">
        <f>IF(AND(ABS(Apr!F12)&gt;קריטריונים!$B$1,Apr!B12&gt;קריטריונים!$B$3),Apr!F12,"")</f>
        <v/>
      </c>
      <c r="AJ11" s="113" t="str">
        <f>IF(AND(ABS(Apr!E12)&gt;קריטריונים!$B$1,Apr!B12&gt;קריטריונים!$B$3),Apr!E12,"")</f>
        <v/>
      </c>
      <c r="AK11" s="113" t="str">
        <f>IF(AND(ABS(Mar!K12)&gt;קריטריונים!$B$2,Mar!B12&gt;קריטריונים!$B$3),Mar!K12,"")</f>
        <v/>
      </c>
      <c r="AL11" s="113" t="str">
        <f>IF(AND(ABS(Mar!J12)&gt;קריטריונים!$B$2,Mar!B12&gt;קריטריונים!$B$3),Mar!J12,"")</f>
        <v/>
      </c>
      <c r="AM11" s="113" t="str">
        <f>IF(AND(ABS(Mar!F12)&gt;קריטריונים!$B$1,Mar!B12&gt;קריטריונים!$B$3),Mar!F12,"")</f>
        <v/>
      </c>
      <c r="AN11" s="113" t="str">
        <f>IF(AND(ABS(Mar!E12)&gt;קריטריונים!$B$1,Mar!B12&gt;קריטריונים!$B$3),Mar!E12,"")</f>
        <v/>
      </c>
      <c r="AO11" s="113" t="str">
        <f>IF(AND(ABS(Feb!K12)&gt;קריטריונים!$B$2,Feb!B12&gt;קריטריונים!$B$3),Feb!K12,"")</f>
        <v/>
      </c>
      <c r="AP11" s="113" t="str">
        <f>IF(AND(ABS(Feb!J12)&gt;קריטריונים!$B$2,Feb!B12&gt;קריטריונים!$B$3),Feb!J12,"")</f>
        <v/>
      </c>
      <c r="AQ11" s="113" t="str">
        <f>IF(AND(ABS(Feb!F12)&gt;קריטריונים!$B$1,Feb!B12&gt;קריטריונים!$B$3),Feb!F12,"")</f>
        <v/>
      </c>
      <c r="AR11" s="113" t="str">
        <f>IF(AND(ABS(Feb!G12)&gt;קריטריונים!$B$1,Feb!C12&gt;קריטריונים!$B$3),Feb!G12,"")</f>
        <v/>
      </c>
      <c r="AS11" s="113" t="str">
        <f>IF(AND(ABS(Feb!H12)&gt;קריטריונים!$B$1,Feb!D12&gt;קריטריונים!$B$3),Feb!H12,"")</f>
        <v/>
      </c>
      <c r="AT11" s="103" t="str">
        <f>IF(AND(ABS(Jan!E12)&gt;קריטריונים!$B$1,Jan!B12&gt;קריטריונים!$B$3),Jan!E12,"")</f>
        <v/>
      </c>
      <c r="AU11" s="118" t="s">
        <v>86</v>
      </c>
    </row>
    <row r="12" spans="1:47">
      <c r="A12" s="112" t="str">
        <f>IF(AND(ABS(Dec!K13)&gt;קריטריונים!$B$2,Dec!B13&gt;קריטריונים!$B$3),Dec!K13,"")</f>
        <v/>
      </c>
      <c r="B12" s="113" t="str">
        <f>IF(AND(ABS(Dec!J13)&gt;קריטריונים!$B$2,Dec!B13&gt;קריטריונים!$B$3),Dec!J13,"")</f>
        <v/>
      </c>
      <c r="C12" s="113" t="str">
        <f>IF(AND(ABS(Dec!F13)&gt;קריטריונים!$B$1,Dec!B13&gt;קריטריונים!$B$3),Dec!F13,"")</f>
        <v/>
      </c>
      <c r="D12" s="113" t="str">
        <f>IF(AND(ABS(Dec!E13)&gt;קריטריונים!$B$1,Dec!B13&gt;קריטריונים!$B$3),Dec!E13,"")</f>
        <v/>
      </c>
      <c r="E12" s="113">
        <f>IF(AND(ABS(Nov!K13)&gt;קריטריונים!$B$2,Nov!B13&gt;קריטריונים!$B$3),Nov!K13,"")</f>
        <v>1.3947866110693372</v>
      </c>
      <c r="F12" s="113">
        <f>IF(AND(ABS(Nov!J13)&gt;קריטריונים!$B$2,Nov!B13&gt;קריטריונים!$B$3),Nov!J13,"")</f>
        <v>0.46374752792401353</v>
      </c>
      <c r="G12" s="113">
        <f>IF(AND(ABS(Nov!F13)&gt;קריטריונים!$B$1,Nov!B13&gt;קריטריונים!$B$3),Nov!F13,"")</f>
        <v>1.2105875509016872</v>
      </c>
      <c r="H12" s="113">
        <f>IF(AND(ABS(Nov!E13)&gt;קריטריונים!$B$1,Nov!B13&gt;קריטריונים!$B$3),Nov!E13,"")</f>
        <v>5.6631754564834713E-2</v>
      </c>
      <c r="I12" s="113">
        <f>IF(AND(ABS(Oct!K13)&gt;קריטריונים!$B$2,Oct!B13&gt;קריטריונים!$B$3),Oct!K13,"")</f>
        <v>1.4193131939065329</v>
      </c>
      <c r="J12" s="113">
        <f>IF(AND(ABS(Oct!J13)&gt;קריטריונים!$B$2,Oct!B13&gt;קריטריונים!$B$3),Oct!J13,"")</f>
        <v>0.53573828528346445</v>
      </c>
      <c r="K12" s="113">
        <f>IF(AND(ABS(Oct!F13)&gt;קריטריונים!$B$1,Oct!B13&gt;קריטריונים!$B$3),Oct!F13,"")</f>
        <v>1.2058823529411766</v>
      </c>
      <c r="L12" s="113">
        <f>IF(AND(ABS(Oct!E13)&gt;קריטריונים!$B$1,Oct!B13&gt;קריטריונים!$B$3),Oct!E13,"")</f>
        <v>0.74533915113050386</v>
      </c>
      <c r="M12" s="113">
        <f>IF(AND(ABS(Sep!K13)&gt;קריטריונים!$B$2,Sep!B13&gt;קריטריונים!$B$3),Sep!K13,"")</f>
        <v>1.4583155194527575</v>
      </c>
      <c r="N12" s="113">
        <f>IF(AND(ABS(Sep!J13)&gt;קריטריונים!$B$2,Sep!B13&gt;קריטריונים!$B$3),Sep!J13,"")</f>
        <v>0.50608044901777394</v>
      </c>
      <c r="O12" s="113">
        <f>IF(AND(ABS(Sep!F13)&gt;קריטריונים!$B$1,Sep!B13&gt;קריטריונים!$B$3),Sep!F13,"")</f>
        <v>0.95953141640042605</v>
      </c>
      <c r="P12" s="113">
        <f>IF(AND(ABS(Sep!E13)&gt;קריטריונים!$B$1,Sep!B13&gt;קריטריונים!$B$3),Sep!E13,"")</f>
        <v>4.6167841710257118E-2</v>
      </c>
      <c r="Q12" s="113">
        <f>IF(AND(ABS(Aug!K13)&gt;קריטריונים!$B$2,Aug!B13&gt;קריטריונים!$B$3),Aug!K13,"")</f>
        <v>1.5417988663505757</v>
      </c>
      <c r="R12" s="113">
        <f>IF(AND(ABS(Aug!J13)&gt;קריטריונים!$B$2,Aug!B13&gt;קריטריונים!$B$3),Aug!J13,"")</f>
        <v>0.59664994625582257</v>
      </c>
      <c r="S12" s="113">
        <f>IF(AND(ABS(Aug!F13)&gt;קריטריונים!$B$1,Aug!B13&gt;קריטריונים!$B$3),Aug!F13,"")</f>
        <v>1.5848765432098766</v>
      </c>
      <c r="T12" s="113">
        <f>IF(AND(ABS(Aug!E13)&gt;קריטריונים!$B$1,Aug!B13&gt;קריטריונים!$B$3),Aug!E13,"")</f>
        <v>0.15041208791208804</v>
      </c>
      <c r="U12" s="113">
        <f>IF(AND(ABS(Jul!K13)&gt;קריטריונים!$B$2,Jul!B13&gt;קריטריונים!$B$3),Jul!K13,"")</f>
        <v>1.302948201490143</v>
      </c>
      <c r="V12" s="113">
        <f>IF(AND(ABS(Jul!J13)&gt;קריטריונים!$B$2,Jul!B13&gt;קריטריונים!$B$3),Jul!J13,"")</f>
        <v>0.66357643180881754</v>
      </c>
      <c r="W12" s="113">
        <f>IF(AND(ABS(Jul!F13)&gt;קריטריונים!$B$1,Jul!B13&gt;קריטריונים!$B$3),Jul!F13,"")</f>
        <v>1.5107367030062768</v>
      </c>
      <c r="X12" s="113">
        <f>IF(AND(ABS(Jul!E13)&gt;קריטריונים!$B$1,Jul!B13&gt;קריטריונים!$B$3),Jul!E13,"")</f>
        <v>0.18583242315493842</v>
      </c>
      <c r="Y12" s="113">
        <f>IF(AND(ABS(Jun!K13)&gt;קריטריונים!$B$2,Jun!B13&gt;קריטריונים!$B$3),Jun!K13,"")</f>
        <v>1.5272678903963821</v>
      </c>
      <c r="Z12" s="113">
        <f>IF(AND(ABS(Jun!J13)&gt;קריטריונים!$B$2,Jun!B13&gt;קריטריונים!$B$3),Jun!J13,"")</f>
        <v>0.75801128828300923</v>
      </c>
      <c r="AA12" s="113">
        <f>IF(AND(ABS(Jun!F13)&gt;קריטריונים!$B$1,Jun!B13&gt;קריטריונים!$B$3),Jun!F13,"")</f>
        <v>1.218658112804063</v>
      </c>
      <c r="AB12" s="113">
        <f>IF(AND(ABS(Jun!E13)&gt;קריטריונים!$B$1,Jun!B13&gt;קריטריונים!$B$3),Jun!E13,"")</f>
        <v>0.14561766735679793</v>
      </c>
      <c r="AC12" s="113">
        <f>IF(AND(ABS(May!K13)&gt;קריטריונים!$B$2,May!B13&gt;קריטריונים!$B$3),May!K13,"")</f>
        <v>1.6055320742603389</v>
      </c>
      <c r="AD12" s="113">
        <f>IF(AND(ABS(May!J13)&gt;קריטריונים!$B$2,May!B13&gt;קריטריונים!$B$3),May!J13,"")</f>
        <v>0.93422829454285483</v>
      </c>
      <c r="AE12" s="113">
        <f>IF(AND(ABS(May!F13)&gt;קריטריונים!$B$1,May!B13&gt;קריטריונים!$B$3),May!F13,"")</f>
        <v>1.5494071146245063</v>
      </c>
      <c r="AF12" s="113">
        <f>IF(AND(ABS(May!E13)&gt;קריטריונים!$B$1,May!B13&gt;קריטריונים!$B$3),May!E13,"")</f>
        <v>0.50157141194273103</v>
      </c>
      <c r="AG12" s="113">
        <f>IF(AND(ABS(Apr!K13)&gt;קריטריונים!$B$2,Apr!B13&gt;קריטריונים!$B$3),Apr!K13,"")</f>
        <v>1.6263663707725038</v>
      </c>
      <c r="AH12" s="113">
        <f>IF(AND(ABS(Apr!J13)&gt;קריטריונים!$B$2,Apr!B13&gt;קריטריונים!$B$3),Apr!J13,"")</f>
        <v>1.1583167540845238</v>
      </c>
      <c r="AI12" s="113">
        <f>IF(AND(ABS(Apr!F13)&gt;קריטריונים!$B$1,Apr!B13&gt;קריטריונים!$B$3),Apr!F13,"")</f>
        <v>1.2727272727272729</v>
      </c>
      <c r="AJ12" s="113">
        <f>IF(AND(ABS(Apr!E13)&gt;קריטריונים!$B$1,Apr!B13&gt;קריטריונים!$B$3),Apr!E13,"")</f>
        <v>0.75359712230215803</v>
      </c>
      <c r="AK12" s="113">
        <f>IF(AND(ABS(Mar!K13)&gt;קריטריונים!$B$2,Mar!B13&gt;קריטריונים!$B$3),Mar!K13,"")</f>
        <v>1.7453671928620453</v>
      </c>
      <c r="AL12" s="113">
        <f>IF(AND(ABS(Mar!J13)&gt;קריטריונים!$B$2,Mar!B13&gt;קריטריונים!$B$3),Mar!J13,"")</f>
        <v>1.306615042425241</v>
      </c>
      <c r="AM12" s="113">
        <f>IF(AND(ABS(Mar!F13)&gt;קריטריונים!$B$1,Mar!B13&gt;קריטריונים!$B$3),Mar!F13,"")</f>
        <v>2.0372492836676215</v>
      </c>
      <c r="AN12" s="113">
        <f>IF(AND(ABS(Mar!E13)&gt;קריטריונים!$B$1,Mar!B13&gt;קריטריונים!$B$3),Mar!E13,"")</f>
        <v>1.3068552774755169</v>
      </c>
      <c r="AO12" s="113">
        <f>IF(AND(ABS(Feb!K13)&gt;קריטריונים!$B$2,Feb!B13&gt;קריטריונים!$B$3),Feb!K13,"")</f>
        <v>1.5935310776568787</v>
      </c>
      <c r="AP12" s="113">
        <f>IF(AND(ABS(Feb!J13)&gt;קריטריונים!$B$2,Feb!B13&gt;קריטריונים!$B$3),Feb!J13,"")</f>
        <v>1.3064687168610813</v>
      </c>
      <c r="AQ12" s="113">
        <f>IF(AND(ABS(Feb!F13)&gt;קריטריונים!$B$1,Feb!B13&gt;קריטריונים!$B$3),Feb!F13,"")</f>
        <v>0.79117518567059819</v>
      </c>
      <c r="AR12" s="113">
        <f>IF(AND(ABS(Feb!G13)&gt;קריטריונים!$B$1,Feb!C13&gt;קריטריונים!$B$3),Feb!G13,"")</f>
        <v>17.399999999999999</v>
      </c>
      <c r="AS12" s="113">
        <f>IF(AND(ABS(Feb!H13)&gt;קריטריונים!$B$1,Feb!D13&gt;קריטריונים!$B$3),Feb!H13,"")</f>
        <v>7.5440000000000005</v>
      </c>
      <c r="AT12" s="103">
        <f>IF(AND(ABS(Jan!E13)&gt;קריטריונים!$B$1,Jan!B13&gt;קריטריונים!$B$3),Jan!E13,"")</f>
        <v>2.0065359477124178</v>
      </c>
      <c r="AU12" s="118" t="s">
        <v>8</v>
      </c>
    </row>
    <row r="13" spans="1:47">
      <c r="A13" s="112" t="str">
        <f>IF(AND(ABS(Dec!K14)&gt;קריטריונים!$B$2,Dec!B14&gt;קריטריונים!$B$3),Dec!K14,"")</f>
        <v/>
      </c>
      <c r="B13" s="113" t="str">
        <f>IF(AND(ABS(Dec!J14)&gt;קריטריונים!$B$2,Dec!B14&gt;קריטריונים!$B$3),Dec!J14,"")</f>
        <v/>
      </c>
      <c r="C13" s="113" t="str">
        <f>IF(AND(ABS(Dec!F14)&gt;קריטריונים!$B$1,Dec!B14&gt;קריטריונים!$B$3),Dec!F14,"")</f>
        <v/>
      </c>
      <c r="D13" s="113" t="str">
        <f>IF(AND(ABS(Dec!E14)&gt;קריטריונים!$B$1,Dec!B14&gt;קריטריונים!$B$3),Dec!E14,"")</f>
        <v/>
      </c>
      <c r="E13" s="113">
        <f>IF(AND(ABS(Nov!K14)&gt;קריטריונים!$B$2,Nov!B14&gt;קריטריונים!$B$3),Nov!K14,"")</f>
        <v>0.68214090660841076</v>
      </c>
      <c r="F13" s="113">
        <f>IF(AND(ABS(Nov!J14)&gt;קריטריונים!$B$2,Nov!B14&gt;קריטריונים!$B$3),Nov!J14,"")</f>
        <v>0.43952140587025612</v>
      </c>
      <c r="G13" s="113">
        <f>IF(AND(ABS(Nov!F14)&gt;קריטריונים!$B$1,Nov!B14&gt;קריטריונים!$B$3),Nov!F14,"")</f>
        <v>1.5139664804469275</v>
      </c>
      <c r="H13" s="113">
        <f>IF(AND(ABS(Nov!E14)&gt;קריטריונים!$B$1,Nov!B14&gt;קריטריונים!$B$3),Nov!E14,"")</f>
        <v>0.38996138996139007</v>
      </c>
      <c r="I13" s="113" t="str">
        <f>IF(AND(ABS(Oct!K14)&gt;קריטריונים!$B$2,Oct!B14&gt;קריטריונים!$B$3),Oct!K14,"")</f>
        <v/>
      </c>
      <c r="J13" s="113" t="str">
        <f>IF(AND(ABS(Oct!J14)&gt;קריטריונים!$B$2,Oct!B14&gt;קריטריונים!$B$3),Oct!J14,"")</f>
        <v/>
      </c>
      <c r="K13" s="113" t="str">
        <f>IF(AND(ABS(Oct!F14)&gt;קריטריונים!$B$1,Oct!B14&gt;קריטריונים!$B$3),Oct!F14,"")</f>
        <v/>
      </c>
      <c r="L13" s="113" t="str">
        <f>IF(AND(ABS(Oct!E14)&gt;קריטריונים!$B$1,Oct!B14&gt;קריטריונים!$B$3),Oct!E14,"")</f>
        <v/>
      </c>
      <c r="M13" s="113">
        <f>IF(AND(ABS(Sep!K14)&gt;קריטריונים!$B$2,Sep!B14&gt;קריטריונים!$B$3),Sep!K14,"")</f>
        <v>0.64044641656581947</v>
      </c>
      <c r="N13" s="113">
        <f>IF(AND(ABS(Sep!J14)&gt;קריטריונים!$B$2,Sep!B14&gt;קריטריונים!$B$3),Sep!J14,"")</f>
        <v>0.43091719446399246</v>
      </c>
      <c r="O13" s="113">
        <f>IF(AND(ABS(Sep!F14)&gt;קריטריונים!$B$1,Sep!B14&gt;קריטריונים!$B$3),Sep!F14,"")</f>
        <v>1.0278833967046896</v>
      </c>
      <c r="P13" s="113">
        <f>IF(AND(ABS(Sep!E14)&gt;קריטריונים!$B$1,Sep!B14&gt;קריטריונים!$B$3),Sep!E14,"")</f>
        <v>0.21212121212121215</v>
      </c>
      <c r="Q13" s="113" t="str">
        <f>IF(AND(ABS(Aug!K14)&gt;קריטריונים!$B$2,Aug!B14&gt;קריטריונים!$B$3),Aug!K14,"")</f>
        <v/>
      </c>
      <c r="R13" s="113" t="str">
        <f>IF(AND(ABS(Aug!J14)&gt;קריטריונים!$B$2,Aug!B14&gt;קריטריונים!$B$3),Aug!J14,"")</f>
        <v/>
      </c>
      <c r="S13" s="113" t="str">
        <f>IF(AND(ABS(Aug!F14)&gt;קריטריונים!$B$1,Aug!B14&gt;קריטריונים!$B$3),Aug!F14,"")</f>
        <v/>
      </c>
      <c r="T13" s="113" t="str">
        <f>IF(AND(ABS(Aug!E14)&gt;קריטריונים!$B$1,Aug!B14&gt;קריטריונים!$B$3),Aug!E14,"")</f>
        <v/>
      </c>
      <c r="U13" s="113" t="str">
        <f>IF(AND(ABS(Jul!K14)&gt;קריטריונים!$B$2,Jul!B14&gt;קריטריונים!$B$3),Jul!K14,"")</f>
        <v/>
      </c>
      <c r="V13" s="113" t="str">
        <f>IF(AND(ABS(Jul!J14)&gt;קריטריונים!$B$2,Jul!B14&gt;קריטריונים!$B$3),Jul!J14,"")</f>
        <v/>
      </c>
      <c r="W13" s="113" t="str">
        <f>IF(AND(ABS(Jul!F14)&gt;קריטריונים!$B$1,Jul!B14&gt;קריטריונים!$B$3),Jul!F14,"")</f>
        <v/>
      </c>
      <c r="X13" s="113" t="str">
        <f>IF(AND(ABS(Jul!E14)&gt;קריטריונים!$B$1,Jul!B14&gt;קריטריונים!$B$3),Jul!E14,"")</f>
        <v/>
      </c>
      <c r="Y13" s="113" t="str">
        <f>IF(AND(ABS(Jun!K14)&gt;קריטריונים!$B$2,Jun!B14&gt;קריטריונים!$B$3),Jun!K14,"")</f>
        <v/>
      </c>
      <c r="Z13" s="113" t="str">
        <f>IF(AND(ABS(Jun!J14)&gt;קריטריונים!$B$2,Jun!B14&gt;קריטריונים!$B$3),Jun!J14,"")</f>
        <v/>
      </c>
      <c r="AA13" s="113" t="str">
        <f>IF(AND(ABS(Jun!F14)&gt;קריטריונים!$B$1,Jun!B14&gt;קריטריונים!$B$3),Jun!F14,"")</f>
        <v/>
      </c>
      <c r="AB13" s="113" t="str">
        <f>IF(AND(ABS(Jun!E14)&gt;קריטריונים!$B$1,Jun!B14&gt;קריטריונים!$B$3),Jun!E14,"")</f>
        <v/>
      </c>
      <c r="AC13" s="113" t="str">
        <f>IF(AND(ABS(May!K14)&gt;קריטריונים!$B$2,May!B14&gt;קריטריונים!$B$3),May!K14,"")</f>
        <v/>
      </c>
      <c r="AD13" s="113" t="str">
        <f>IF(AND(ABS(May!J14)&gt;קריטריונים!$B$2,May!B14&gt;קריטריונים!$B$3),May!J14,"")</f>
        <v/>
      </c>
      <c r="AE13" s="113" t="str">
        <f>IF(AND(ABS(May!F14)&gt;קריטריונים!$B$1,May!B14&gt;קריטריונים!$B$3),May!F14,"")</f>
        <v/>
      </c>
      <c r="AF13" s="113" t="str">
        <f>IF(AND(ABS(May!E14)&gt;קריטריונים!$B$1,May!B14&gt;קריטריונים!$B$3),May!E14,"")</f>
        <v/>
      </c>
      <c r="AG13" s="113" t="str">
        <f>IF(AND(ABS(Apr!K14)&gt;קריטריונים!$B$2,Apr!B14&gt;קריטריונים!$B$3),Apr!K14,"")</f>
        <v/>
      </c>
      <c r="AH13" s="113" t="str">
        <f>IF(AND(ABS(Apr!J14)&gt;קריטריונים!$B$2,Apr!B14&gt;קריטריונים!$B$3),Apr!J14,"")</f>
        <v/>
      </c>
      <c r="AI13" s="113" t="str">
        <f>IF(AND(ABS(Apr!F14)&gt;קריטריונים!$B$1,Apr!B14&gt;קריטריונים!$B$3),Apr!F14,"")</f>
        <v/>
      </c>
      <c r="AJ13" s="113" t="str">
        <f>IF(AND(ABS(Apr!E14)&gt;קריטריונים!$B$1,Apr!B14&gt;קריטריונים!$B$3),Apr!E14,"")</f>
        <v/>
      </c>
      <c r="AK13" s="113">
        <f>IF(AND(ABS(Mar!K14)&gt;קריטריונים!$B$2,Mar!B14&gt;קריטריונים!$B$3),Mar!K14,"")</f>
        <v>0.31199999999999961</v>
      </c>
      <c r="AL13" s="113">
        <f>IF(AND(ABS(Mar!J14)&gt;קריטריונים!$B$2,Mar!B14&gt;קריטריונים!$B$3),Mar!J14,"")</f>
        <v>0.51347360649686213</v>
      </c>
      <c r="AM13" s="113">
        <f>IF(AND(ABS(Mar!F14)&gt;קריטריונים!$B$1,Mar!B14&gt;קריטריונים!$B$3),Mar!F14,"")</f>
        <v>0.75054704595185995</v>
      </c>
      <c r="AN13" s="113">
        <f>IF(AND(ABS(Mar!E14)&gt;קריטריונים!$B$1,Mar!B14&gt;קריטריונים!$B$3),Mar!E14,"")</f>
        <v>0.53846153846153855</v>
      </c>
      <c r="AO13" s="113" t="str">
        <f>IF(AND(ABS(Feb!K14)&gt;קריטריונים!$B$2,Feb!B14&gt;קריטריונים!$B$3),Feb!K14,"")</f>
        <v/>
      </c>
      <c r="AP13" s="113" t="str">
        <f>IF(AND(ABS(Feb!J14)&gt;קריטריונים!$B$2,Feb!B14&gt;קריטריונים!$B$3),Feb!J14,"")</f>
        <v/>
      </c>
      <c r="AQ13" s="113" t="str">
        <f>IF(AND(ABS(Feb!F14)&gt;קריטריונים!$B$1,Feb!B14&gt;קריטריונים!$B$3),Feb!F14,"")</f>
        <v/>
      </c>
      <c r="AR13" s="113" t="str">
        <f>IF(AND(ABS(Feb!G14)&gt;קריטריונים!$B$1,Feb!C14&gt;קריטריונים!$B$3),Feb!G14,"")</f>
        <v/>
      </c>
      <c r="AS13" s="113" t="str">
        <f>IF(AND(ABS(Feb!H14)&gt;קריטריונים!$B$1,Feb!D14&gt;קריטריונים!$B$3),Feb!H14,"")</f>
        <v/>
      </c>
      <c r="AT13" s="103" t="str">
        <f>IF(AND(ABS(Jan!E14)&gt;קריטריונים!$B$1,Jan!B14&gt;קריטריונים!$B$3),Jan!E14,"")</f>
        <v/>
      </c>
      <c r="AU13" s="118" t="s">
        <v>9</v>
      </c>
    </row>
    <row r="14" spans="1:47">
      <c r="A14" s="112" t="str">
        <f>IF(AND(ABS(Dec!K15)&gt;קריטריונים!$B$2,Dec!B15&gt;קריטריונים!$B$3),Dec!K15,"")</f>
        <v/>
      </c>
      <c r="B14" s="113" t="str">
        <f>IF(AND(ABS(Dec!J15)&gt;קריטריונים!$B$2,Dec!B15&gt;קריטריונים!$B$3),Dec!J15,"")</f>
        <v/>
      </c>
      <c r="C14" s="113" t="str">
        <f>IF(AND(ABS(Dec!F15)&gt;קריטריונים!$B$1,Dec!B15&gt;קריטריונים!$B$3),Dec!F15,"")</f>
        <v/>
      </c>
      <c r="D14" s="113" t="str">
        <f>IF(AND(ABS(Dec!E15)&gt;קריטריונים!$B$1,Dec!B15&gt;קריטריונים!$B$3),Dec!E15,"")</f>
        <v/>
      </c>
      <c r="E14" s="113" t="str">
        <f>IF(AND(ABS(Nov!K15)&gt;קריטריונים!$B$2,Nov!B15&gt;קריטריונים!$B$3),Nov!K15,"")</f>
        <v/>
      </c>
      <c r="F14" s="113" t="str">
        <f>IF(AND(ABS(Nov!J15)&gt;קריטריונים!$B$2,Nov!B15&gt;קריטריונים!$B$3),Nov!J15,"")</f>
        <v/>
      </c>
      <c r="G14" s="113" t="str">
        <f>IF(AND(ABS(Nov!F15)&gt;קריטריונים!$B$1,Nov!B15&gt;קריטריונים!$B$3),Nov!F15,"")</f>
        <v/>
      </c>
      <c r="H14" s="113" t="str">
        <f>IF(AND(ABS(Nov!E15)&gt;קריטריונים!$B$1,Nov!B15&gt;קריטריונים!$B$3),Nov!E15,"")</f>
        <v/>
      </c>
      <c r="I14" s="113" t="str">
        <f>IF(AND(ABS(Oct!K15)&gt;קריטריונים!$B$2,Oct!B15&gt;קריטריונים!$B$3),Oct!K15,"")</f>
        <v/>
      </c>
      <c r="J14" s="113" t="str">
        <f>IF(AND(ABS(Oct!J15)&gt;קריטריונים!$B$2,Oct!B15&gt;קריטריונים!$B$3),Oct!J15,"")</f>
        <v/>
      </c>
      <c r="K14" s="113" t="str">
        <f>IF(AND(ABS(Oct!F15)&gt;קריטריונים!$B$1,Oct!B15&gt;קריטריונים!$B$3),Oct!F15,"")</f>
        <v/>
      </c>
      <c r="L14" s="113" t="str">
        <f>IF(AND(ABS(Oct!E15)&gt;קריטריונים!$B$1,Oct!B15&gt;קריטריונים!$B$3),Oct!E15,"")</f>
        <v/>
      </c>
      <c r="M14" s="113" t="str">
        <f>IF(AND(ABS(Sep!K15)&gt;קריטריונים!$B$2,Sep!B15&gt;קריטריונים!$B$3),Sep!K15,"")</f>
        <v/>
      </c>
      <c r="N14" s="113" t="str">
        <f>IF(AND(ABS(Sep!J15)&gt;קריטריונים!$B$2,Sep!B15&gt;קריטריונים!$B$3),Sep!J15,"")</f>
        <v/>
      </c>
      <c r="O14" s="113" t="str">
        <f>IF(AND(ABS(Sep!F15)&gt;קריטריונים!$B$1,Sep!B15&gt;קריטריונים!$B$3),Sep!F15,"")</f>
        <v/>
      </c>
      <c r="P14" s="113" t="str">
        <f>IF(AND(ABS(Sep!E15)&gt;קריטריונים!$B$1,Sep!B15&gt;קריטריונים!$B$3),Sep!E15,"")</f>
        <v/>
      </c>
      <c r="Q14" s="113" t="str">
        <f>IF(AND(ABS(Aug!K15)&gt;קריטריונים!$B$2,Aug!B15&gt;קריטריונים!$B$3),Aug!K15,"")</f>
        <v/>
      </c>
      <c r="R14" s="113" t="str">
        <f>IF(AND(ABS(Aug!J15)&gt;קריטריונים!$B$2,Aug!B15&gt;קריטריונים!$B$3),Aug!J15,"")</f>
        <v/>
      </c>
      <c r="S14" s="113" t="str">
        <f>IF(AND(ABS(Aug!F15)&gt;קריטריונים!$B$1,Aug!B15&gt;קריטריונים!$B$3),Aug!F15,"")</f>
        <v/>
      </c>
      <c r="T14" s="113" t="str">
        <f>IF(AND(ABS(Aug!E15)&gt;קריטריונים!$B$1,Aug!B15&gt;קריטריונים!$B$3),Aug!E15,"")</f>
        <v/>
      </c>
      <c r="U14" s="113" t="str">
        <f>IF(AND(ABS(Jul!K15)&gt;קריטריונים!$B$2,Jul!B15&gt;קריטריונים!$B$3),Jul!K15,"")</f>
        <v/>
      </c>
      <c r="V14" s="113" t="str">
        <f>IF(AND(ABS(Jul!J15)&gt;קריטריונים!$B$2,Jul!B15&gt;קריטריונים!$B$3),Jul!J15,"")</f>
        <v/>
      </c>
      <c r="W14" s="113" t="str">
        <f>IF(AND(ABS(Jul!F15)&gt;קריטריונים!$B$1,Jul!B15&gt;קריטריונים!$B$3),Jul!F15,"")</f>
        <v/>
      </c>
      <c r="X14" s="113" t="str">
        <f>IF(AND(ABS(Jul!E15)&gt;קריטריונים!$B$1,Jul!B15&gt;קריטריונים!$B$3),Jul!E15,"")</f>
        <v/>
      </c>
      <c r="Y14" s="113" t="str">
        <f>IF(AND(ABS(Jun!K15)&gt;קריטריונים!$B$2,Jun!B15&gt;קריטריונים!$B$3),Jun!K15,"")</f>
        <v/>
      </c>
      <c r="Z14" s="113" t="str">
        <f>IF(AND(ABS(Jun!J15)&gt;קריטריונים!$B$2,Jun!B15&gt;קריטריונים!$B$3),Jun!J15,"")</f>
        <v/>
      </c>
      <c r="AA14" s="113" t="str">
        <f>IF(AND(ABS(Jun!F15)&gt;קריטריונים!$B$1,Jun!B15&gt;קריטריונים!$B$3),Jun!F15,"")</f>
        <v/>
      </c>
      <c r="AB14" s="113" t="str">
        <f>IF(AND(ABS(Jun!E15)&gt;קריטריונים!$B$1,Jun!B15&gt;קריטריונים!$B$3),Jun!E15,"")</f>
        <v/>
      </c>
      <c r="AC14" s="113" t="str">
        <f>IF(AND(ABS(May!K15)&gt;קריטריונים!$B$2,May!B15&gt;קריטריונים!$B$3),May!K15,"")</f>
        <v/>
      </c>
      <c r="AD14" s="113" t="str">
        <f>IF(AND(ABS(May!J15)&gt;קריטריונים!$B$2,May!B15&gt;קריטריונים!$B$3),May!J15,"")</f>
        <v/>
      </c>
      <c r="AE14" s="113" t="str">
        <f>IF(AND(ABS(May!F15)&gt;קריטריונים!$B$1,May!B15&gt;קריטריונים!$B$3),May!F15,"")</f>
        <v/>
      </c>
      <c r="AF14" s="113" t="str">
        <f>IF(AND(ABS(May!E15)&gt;קריטריונים!$B$1,May!B15&gt;קריטריונים!$B$3),May!E15,"")</f>
        <v/>
      </c>
      <c r="AG14" s="113" t="str">
        <f>IF(AND(ABS(Apr!K15)&gt;קריטריונים!$B$2,Apr!B15&gt;קריטריונים!$B$3),Apr!K15,"")</f>
        <v/>
      </c>
      <c r="AH14" s="113" t="str">
        <f>IF(AND(ABS(Apr!J15)&gt;קריטריונים!$B$2,Apr!B15&gt;קריטריונים!$B$3),Apr!J15,"")</f>
        <v/>
      </c>
      <c r="AI14" s="113" t="str">
        <f>IF(AND(ABS(Apr!F15)&gt;קריטריונים!$B$1,Apr!B15&gt;קריטריונים!$B$3),Apr!F15,"")</f>
        <v/>
      </c>
      <c r="AJ14" s="113" t="str">
        <f>IF(AND(ABS(Apr!E15)&gt;קריטריונים!$B$1,Apr!B15&gt;קריטריונים!$B$3),Apr!E15,"")</f>
        <v/>
      </c>
      <c r="AK14" s="113" t="str">
        <f>IF(AND(ABS(Mar!K15)&gt;קריטריונים!$B$2,Mar!B15&gt;קריטריונים!$B$3),Mar!K15,"")</f>
        <v/>
      </c>
      <c r="AL14" s="113" t="str">
        <f>IF(AND(ABS(Mar!J15)&gt;קריטריונים!$B$2,Mar!B15&gt;קריטריונים!$B$3),Mar!J15,"")</f>
        <v/>
      </c>
      <c r="AM14" s="113" t="str">
        <f>IF(AND(ABS(Mar!F15)&gt;קריטריונים!$B$1,Mar!B15&gt;קריטריונים!$B$3),Mar!F15,"")</f>
        <v/>
      </c>
      <c r="AN14" s="113" t="str">
        <f>IF(AND(ABS(Mar!E15)&gt;קריטריונים!$B$1,Mar!B15&gt;קריטריונים!$B$3),Mar!E15,"")</f>
        <v/>
      </c>
      <c r="AO14" s="113" t="str">
        <f>IF(AND(ABS(Feb!K15)&gt;קריטריונים!$B$2,Feb!B15&gt;קריטריונים!$B$3),Feb!K15,"")</f>
        <v/>
      </c>
      <c r="AP14" s="113" t="str">
        <f>IF(AND(ABS(Feb!J15)&gt;קריטריונים!$B$2,Feb!B15&gt;קריטריונים!$B$3),Feb!J15,"")</f>
        <v/>
      </c>
      <c r="AQ14" s="113" t="str">
        <f>IF(AND(ABS(Feb!F15)&gt;קריטריונים!$B$1,Feb!B15&gt;קריטריונים!$B$3),Feb!F15,"")</f>
        <v/>
      </c>
      <c r="AR14" s="113" t="str">
        <f>IF(AND(ABS(Feb!G15)&gt;קריטריונים!$B$1,Feb!C15&gt;קריטריונים!$B$3),Feb!G15,"")</f>
        <v/>
      </c>
      <c r="AS14" s="113" t="str">
        <f>IF(AND(ABS(Feb!H15)&gt;קריטריונים!$B$1,Feb!D15&gt;קריטריונים!$B$3),Feb!H15,"")</f>
        <v/>
      </c>
      <c r="AT14" s="103" t="str">
        <f>IF(AND(ABS(Jan!E15)&gt;קריטריונים!$B$1,Jan!B15&gt;קריטריונים!$B$3),Jan!E15,"")</f>
        <v/>
      </c>
      <c r="AU14" s="118" t="s">
        <v>10</v>
      </c>
    </row>
    <row r="15" spans="1:47">
      <c r="A15" s="112" t="str">
        <f>IF(AND(ABS(Dec!K16)&gt;קריטריונים!$B$2,Dec!B16&gt;קריטריונים!$B$3),Dec!K16,"")</f>
        <v/>
      </c>
      <c r="B15" s="113" t="str">
        <f>IF(AND(ABS(Dec!J16)&gt;קריטריונים!$B$2,Dec!B16&gt;קריטריונים!$B$3),Dec!J16,"")</f>
        <v/>
      </c>
      <c r="C15" s="113" t="str">
        <f>IF(AND(ABS(Dec!F16)&gt;קריטריונים!$B$1,Dec!B16&gt;קריטריונים!$B$3),Dec!F16,"")</f>
        <v/>
      </c>
      <c r="D15" s="113" t="str">
        <f>IF(AND(ABS(Dec!E16)&gt;קריטריונים!$B$1,Dec!B16&gt;קריטריונים!$B$3),Dec!E16,"")</f>
        <v/>
      </c>
      <c r="E15" s="113">
        <f>IF(AND(ABS(Nov!K16)&gt;קריטריונים!$B$2,Nov!B16&gt;קריטריונים!$B$3),Nov!K16,"")</f>
        <v>0.77740160812526438</v>
      </c>
      <c r="F15" s="113">
        <f>IF(AND(ABS(Nov!J16)&gt;קריטריונים!$B$2,Nov!B16&gt;קריטריונים!$B$3),Nov!J16,"")</f>
        <v>0.42372881355932202</v>
      </c>
      <c r="G15" s="113">
        <f>IF(AND(ABS(Nov!F16)&gt;קריטריונים!$B$1,Nov!B16&gt;קריטריונים!$B$3),Nov!F16,"")</f>
        <v>2.0669895076674734</v>
      </c>
      <c r="H15" s="113">
        <f>IF(AND(ABS(Nov!E16)&gt;קריטריונים!$B$1,Nov!B16&gt;קריטריונים!$B$3),Nov!E16,"")</f>
        <v>0.80436847103513776</v>
      </c>
      <c r="I15" s="113">
        <f>IF(AND(ABS(Oct!K16)&gt;קריטריונים!$B$2,Oct!B16&gt;קריטריונים!$B$3),Oct!K16,"")</f>
        <v>0.69762332734172161</v>
      </c>
      <c r="J15" s="113">
        <f>IF(AND(ABS(Oct!J16)&gt;קריטריונים!$B$2,Oct!B16&gt;קריטריונים!$B$3),Oct!J16,"")</f>
        <v>0.39093438062510222</v>
      </c>
      <c r="K15" s="113">
        <f>IF(AND(ABS(Oct!F16)&gt;קריטריונים!$B$1,Oct!B16&gt;קריטריונים!$B$3),Oct!F16,"")</f>
        <v>1.4425989252564726</v>
      </c>
      <c r="L15" s="113">
        <f>IF(AND(ABS(Oct!E16)&gt;קריטריונים!$B$1,Oct!B16&gt;קריטריונים!$B$3),Oct!E16,"")</f>
        <v>1.3507287259050309</v>
      </c>
      <c r="M15" s="113">
        <f>IF(AND(ABS(Sep!K16)&gt;קריטריונים!$B$2,Sep!B16&gt;קריטריונים!$B$3),Sep!K16,"")</f>
        <v>0.61281352538790945</v>
      </c>
      <c r="N15" s="113">
        <f>IF(AND(ABS(Sep!J16)&gt;קריטריונים!$B$2,Sep!B16&gt;קריטריונים!$B$3),Sep!J16,"")</f>
        <v>0.29945781242998626</v>
      </c>
      <c r="O15" s="113">
        <f>IF(AND(ABS(Sep!F16)&gt;קריטריונים!$B$1,Sep!B16&gt;קריטריונים!$B$3),Sep!F16,"")</f>
        <v>0.42566191446028512</v>
      </c>
      <c r="P15" s="113">
        <f>IF(AND(ABS(Sep!E16)&gt;קריטריונים!$B$1,Sep!B16&gt;קריטריונים!$B$3),Sep!E16,"")</f>
        <v>0.10019646365422386</v>
      </c>
      <c r="Q15" s="113">
        <f>IF(AND(ABS(Aug!K16)&gt;קריטריונים!$B$2,Aug!B16&gt;קריטריונים!$B$3),Aug!K16,"")</f>
        <v>0.63576200287194884</v>
      </c>
      <c r="R15" s="113">
        <f>IF(AND(ABS(Aug!J16)&gt;קריטריונים!$B$2,Aug!B16&gt;קריטריונים!$B$3),Aug!J16,"")</f>
        <v>0.32510621080315594</v>
      </c>
      <c r="S15" s="113">
        <f>IF(AND(ABS(Aug!F16)&gt;קריטריונים!$B$1,Aug!B16&gt;קריטריונים!$B$3),Aug!F16,"")</f>
        <v>0.85676392572944304</v>
      </c>
      <c r="T15" s="113">
        <f>IF(AND(ABS(Aug!E16)&gt;קריטריונים!$B$1,Aug!B16&gt;קריטריונים!$B$3),Aug!E16,"")</f>
        <v>0.51079136690647498</v>
      </c>
      <c r="U15" s="113">
        <f>IF(AND(ABS(Jul!K16)&gt;קריטריונים!$B$2,Jul!B16&gt;קריטריונים!$B$3),Jul!K16,"")</f>
        <v>0.5046513079852657</v>
      </c>
      <c r="V15" s="113">
        <f>IF(AND(ABS(Jul!J16)&gt;קריטריונים!$B$2,Jul!B16&gt;קריטריונים!$B$3),Jul!J16,"")</f>
        <v>0.31106517245131093</v>
      </c>
      <c r="W15" s="113">
        <f>IF(AND(ABS(Jul!F16)&gt;קריטריונים!$B$1,Jul!B16&gt;קריטריונים!$B$3),Jul!F16,"")</f>
        <v>0.42959256611865615</v>
      </c>
      <c r="X15" s="113">
        <f>IF(AND(ABS(Jul!E16)&gt;קריטריונים!$B$1,Jul!B16&gt;קריטריונים!$B$3),Jul!E16,"")</f>
        <v>2.197240674501777E-2</v>
      </c>
      <c r="Y15" s="113">
        <f>IF(AND(ABS(Jun!K16)&gt;קריטריונים!$B$2,Jun!B16&gt;קריטריונים!$B$3),Jun!K16,"")</f>
        <v>0.61975960128994445</v>
      </c>
      <c r="Z15" s="113">
        <f>IF(AND(ABS(Jun!J16)&gt;קריטריונים!$B$2,Jun!B16&gt;קריטריונים!$B$3),Jun!J16,"")</f>
        <v>0.34550989345509886</v>
      </c>
      <c r="AA15" s="113">
        <f>IF(AND(ABS(Jun!F16)&gt;קריטריונים!$B$1,Jun!B16&gt;קריטריונים!$B$3),Jun!F16,"")</f>
        <v>0.72057811424638674</v>
      </c>
      <c r="AB15" s="113">
        <f>IF(AND(ABS(Jun!E16)&gt;קריטריונים!$B$1,Jun!B16&gt;קריטריונים!$B$3),Jun!E16,"")</f>
        <v>4.5150501672240884E-2</v>
      </c>
      <c r="AC15" s="113">
        <f>IF(AND(ABS(May!K16)&gt;קריטריונים!$B$2,May!B16&gt;קריטריונים!$B$3),May!K16,"")</f>
        <v>0.62871863054678423</v>
      </c>
      <c r="AD15" s="113">
        <f>IF(AND(ABS(May!J16)&gt;קריטריונים!$B$2,May!B16&gt;קריטריונים!$B$3),May!J16,"")</f>
        <v>0.39670776027934163</v>
      </c>
      <c r="AE15" s="113">
        <f>IF(AND(ABS(May!F16)&gt;קריטריונים!$B$1,May!B16&gt;קריטריונים!$B$3),May!F16,"")</f>
        <v>0.86023127199597793</v>
      </c>
      <c r="AF15" s="113">
        <f>IF(AND(ABS(May!E16)&gt;קריטריונים!$B$1,May!B16&gt;קריטריונים!$B$3),May!E16,"")</f>
        <v>0.71534538711172924</v>
      </c>
      <c r="AG15" s="113">
        <f>IF(AND(ABS(Apr!K16)&gt;קריטריונים!$B$2,Apr!B16&gt;קריטריונים!$B$3),Apr!K16,"")</f>
        <v>0.58287705326032846</v>
      </c>
      <c r="AH15" s="113">
        <f>IF(AND(ABS(Apr!J16)&gt;קריטריונים!$B$2,Apr!B16&gt;קריטריונים!$B$3),Apr!J16,"")</f>
        <v>0.33883462445267765</v>
      </c>
      <c r="AI15" s="113">
        <f>IF(AND(ABS(Apr!F16)&gt;קריטריונים!$B$1,Apr!B16&gt;קריטריונים!$B$3),Apr!F16,"")</f>
        <v>0.37767220902612819</v>
      </c>
      <c r="AJ15" s="113">
        <f>IF(AND(ABS(Apr!E16)&gt;קריטריונים!$B$1,Apr!B16&gt;קריטריונים!$B$3),Apr!E16,"")</f>
        <v>0.19292472233648694</v>
      </c>
      <c r="AK15" s="113">
        <f>IF(AND(ABS(Mar!K16)&gt;קריטריונים!$B$2,Mar!B16&gt;קריטריונים!$B$3),Mar!K16,"")</f>
        <v>0.63727959697733016</v>
      </c>
      <c r="AL15" s="113">
        <f>IF(AND(ABS(Mar!J16)&gt;קריטריונים!$B$2,Mar!B16&gt;קריטריונים!$B$3),Mar!J16,"")</f>
        <v>0.37638962413975641</v>
      </c>
      <c r="AM15" s="113">
        <f>IF(AND(ABS(Mar!F16)&gt;קריטריונים!$B$1,Mar!B16&gt;קריטריונים!$B$3),Mar!F16,"")</f>
        <v>0.82956186807896004</v>
      </c>
      <c r="AN15" s="113">
        <f>IF(AND(ABS(Mar!E16)&gt;קריטריונים!$B$1,Mar!B16&gt;קריטריונים!$B$3),Mar!E16,"")</f>
        <v>0.88492063492063489</v>
      </c>
      <c r="AO15" s="113">
        <f>IF(AND(ABS(Feb!K16)&gt;קריטריונים!$B$2,Feb!B16&gt;קריטריונים!$B$3),Feb!K16,"")</f>
        <v>0.56916254477230077</v>
      </c>
      <c r="AP15" s="113">
        <f>IF(AND(ABS(Feb!J16)&gt;קריטריונים!$B$2,Feb!B16&gt;קריטריונים!$B$3),Feb!J16,"")</f>
        <v>0.23839009287925705</v>
      </c>
      <c r="AQ15" s="113">
        <f>IF(AND(ABS(Feb!F16)&gt;קריטריונים!$B$1,Feb!B16&gt;קריטריונים!$B$3),Feb!F16,"")</f>
        <v>1.0241339042428961</v>
      </c>
      <c r="AR15" s="113">
        <f>IF(AND(ABS(Feb!G16)&gt;קריטריונים!$B$1,Feb!C16&gt;קריטריונים!$B$3),Feb!G16,"")</f>
        <v>9.1999999999999993</v>
      </c>
      <c r="AS15" s="113">
        <f>IF(AND(ABS(Feb!H16)&gt;קריטריונים!$B$1,Feb!D16&gt;קריטריונים!$B$3),Feb!H16,"")</f>
        <v>7.4289999999999994</v>
      </c>
      <c r="AT15" s="103">
        <f>IF(AND(ABS(Jan!E16)&gt;קריטריונים!$B$1,Jan!B16&gt;קריטריונים!$B$3),Jan!E16,"")</f>
        <v>0.21506682867557725</v>
      </c>
      <c r="AU15" s="118" t="s">
        <v>11</v>
      </c>
    </row>
    <row r="16" spans="1:47">
      <c r="A16" s="112" t="str">
        <f>IF(AND(ABS(Dec!K17)&gt;קריטריונים!$B$2,Dec!B17&gt;קריטריונים!$B$3),Dec!K17,"")</f>
        <v/>
      </c>
      <c r="B16" s="113" t="str">
        <f>IF(AND(ABS(Dec!J17)&gt;קריטריונים!$B$2,Dec!B17&gt;קריטריונים!$B$3),Dec!J17,"")</f>
        <v/>
      </c>
      <c r="C16" s="113" t="str">
        <f>IF(AND(ABS(Dec!F17)&gt;קריטריונים!$B$1,Dec!B17&gt;קריטריונים!$B$3),Dec!F17,"")</f>
        <v/>
      </c>
      <c r="D16" s="113" t="str">
        <f>IF(AND(ABS(Dec!E17)&gt;קריטריונים!$B$1,Dec!B17&gt;קריטריונים!$B$3),Dec!E17,"")</f>
        <v/>
      </c>
      <c r="E16" s="113">
        <f>IF(AND(ABS(Nov!K17)&gt;קריטריונים!$B$2,Nov!B17&gt;קריטריונים!$B$3),Nov!K17,"")</f>
        <v>0.31416837782340834</v>
      </c>
      <c r="F16" s="113">
        <f>IF(AND(ABS(Nov!J17)&gt;קריטריונים!$B$2,Nov!B17&gt;קריטריונים!$B$3),Nov!J17,"")</f>
        <v>0.15984052192823461</v>
      </c>
      <c r="G16" s="113">
        <f>IF(AND(ABS(Nov!F17)&gt;קריטריונים!$B$1,Nov!B17&gt;קריטריונים!$B$3),Nov!F17,"")</f>
        <v>0.69491525423728806</v>
      </c>
      <c r="H16" s="113">
        <f>IF(AND(ABS(Nov!E17)&gt;קריטריונים!$B$1,Nov!B17&gt;קריטריונים!$B$3),Nov!E17,"")</f>
        <v>0.22732123799359649</v>
      </c>
      <c r="I16" s="113" t="str">
        <f>IF(AND(ABS(Oct!K17)&gt;קריטריונים!$B$2,Oct!B17&gt;קריטריונים!$B$3),Oct!K17,"")</f>
        <v/>
      </c>
      <c r="J16" s="113" t="str">
        <f>IF(AND(ABS(Oct!J17)&gt;קריטריונים!$B$2,Oct!B17&gt;קריטריונים!$B$3),Oct!J17,"")</f>
        <v/>
      </c>
      <c r="K16" s="113" t="str">
        <f>IF(AND(ABS(Oct!F17)&gt;קריטריונים!$B$1,Oct!B17&gt;קריטריונים!$B$3),Oct!F17,"")</f>
        <v/>
      </c>
      <c r="L16" s="113" t="str">
        <f>IF(AND(ABS(Oct!E17)&gt;קריטריונים!$B$1,Oct!B17&gt;קריטריונים!$B$3),Oct!E17,"")</f>
        <v/>
      </c>
      <c r="M16" s="113" t="str">
        <f>IF(AND(ABS(Sep!K17)&gt;קריטריונים!$B$2,Sep!B17&gt;קריטריונים!$B$3),Sep!K17,"")</f>
        <v/>
      </c>
      <c r="N16" s="113" t="str">
        <f>IF(AND(ABS(Sep!J17)&gt;קריטריונים!$B$2,Sep!B17&gt;קריטריונים!$B$3),Sep!J17,"")</f>
        <v/>
      </c>
      <c r="O16" s="113" t="str">
        <f>IF(AND(ABS(Sep!F17)&gt;קריטריונים!$B$1,Sep!B17&gt;קריטריונים!$B$3),Sep!F17,"")</f>
        <v/>
      </c>
      <c r="P16" s="113" t="str">
        <f>IF(AND(ABS(Sep!E17)&gt;קריטריונים!$B$1,Sep!B17&gt;קריטריונים!$B$3),Sep!E17,"")</f>
        <v/>
      </c>
      <c r="Q16" s="113" t="str">
        <f>IF(AND(ABS(Aug!K17)&gt;קריטריונים!$B$2,Aug!B17&gt;קריטריונים!$B$3),Aug!K17,"")</f>
        <v/>
      </c>
      <c r="R16" s="113" t="str">
        <f>IF(AND(ABS(Aug!J17)&gt;קריטריונים!$B$2,Aug!B17&gt;קריטריונים!$B$3),Aug!J17,"")</f>
        <v/>
      </c>
      <c r="S16" s="113" t="str">
        <f>IF(AND(ABS(Aug!F17)&gt;קריטריונים!$B$1,Aug!B17&gt;קריטריונים!$B$3),Aug!F17,"")</f>
        <v/>
      </c>
      <c r="T16" s="113" t="str">
        <f>IF(AND(ABS(Aug!E17)&gt;קריטריונים!$B$1,Aug!B17&gt;קריטריונים!$B$3),Aug!E17,"")</f>
        <v/>
      </c>
      <c r="U16" s="113" t="str">
        <f>IF(AND(ABS(Jul!K17)&gt;קריטריונים!$B$2,Jul!B17&gt;קריטריונים!$B$3),Jul!K17,"")</f>
        <v/>
      </c>
      <c r="V16" s="113" t="str">
        <f>IF(AND(ABS(Jul!J17)&gt;קריטריונים!$B$2,Jul!B17&gt;קריטריונים!$B$3),Jul!J17,"")</f>
        <v/>
      </c>
      <c r="W16" s="113" t="str">
        <f>IF(AND(ABS(Jul!F17)&gt;קריטריונים!$B$1,Jul!B17&gt;קריטריונים!$B$3),Jul!F17,"")</f>
        <v/>
      </c>
      <c r="X16" s="113" t="str">
        <f>IF(AND(ABS(Jul!E17)&gt;קריטריונים!$B$1,Jul!B17&gt;קריטריונים!$B$3),Jul!E17,"")</f>
        <v/>
      </c>
      <c r="Y16" s="113" t="str">
        <f>IF(AND(ABS(Jun!K17)&gt;קריטריונים!$B$2,Jun!B17&gt;קריטריונים!$B$3),Jun!K17,"")</f>
        <v/>
      </c>
      <c r="Z16" s="113" t="str">
        <f>IF(AND(ABS(Jun!J17)&gt;קריטריונים!$B$2,Jun!B17&gt;קריטריונים!$B$3),Jun!J17,"")</f>
        <v/>
      </c>
      <c r="AA16" s="113" t="str">
        <f>IF(AND(ABS(Jun!F17)&gt;קריטריונים!$B$1,Jun!B17&gt;קריטריונים!$B$3),Jun!F17,"")</f>
        <v/>
      </c>
      <c r="AB16" s="113" t="str">
        <f>IF(AND(ABS(Jun!E17)&gt;קריטריונים!$B$1,Jun!B17&gt;קריטריונים!$B$3),Jun!E17,"")</f>
        <v/>
      </c>
      <c r="AC16" s="113" t="str">
        <f>IF(AND(ABS(May!K17)&gt;קריטריונים!$B$2,May!B17&gt;קריטריונים!$B$3),May!K17,"")</f>
        <v/>
      </c>
      <c r="AD16" s="113" t="str">
        <f>IF(AND(ABS(May!J17)&gt;קריטריונים!$B$2,May!B17&gt;קריטריונים!$B$3),May!J17,"")</f>
        <v/>
      </c>
      <c r="AE16" s="113" t="str">
        <f>IF(AND(ABS(May!F17)&gt;קריטריונים!$B$1,May!B17&gt;קריטריונים!$B$3),May!F17,"")</f>
        <v/>
      </c>
      <c r="AF16" s="113" t="str">
        <f>IF(AND(ABS(May!E17)&gt;קריטריונים!$B$1,May!B17&gt;קריטריונים!$B$3),May!E17,"")</f>
        <v/>
      </c>
      <c r="AG16" s="113" t="str">
        <f>IF(AND(ABS(Apr!K17)&gt;קריטריונים!$B$2,Apr!B17&gt;קריטריונים!$B$3),Apr!K17,"")</f>
        <v/>
      </c>
      <c r="AH16" s="113" t="str">
        <f>IF(AND(ABS(Apr!J17)&gt;קריטריונים!$B$2,Apr!B17&gt;קריטריונים!$B$3),Apr!J17,"")</f>
        <v/>
      </c>
      <c r="AI16" s="113" t="str">
        <f>IF(AND(ABS(Apr!F17)&gt;קריטריונים!$B$1,Apr!B17&gt;קריטריונים!$B$3),Apr!F17,"")</f>
        <v/>
      </c>
      <c r="AJ16" s="113" t="str">
        <f>IF(AND(ABS(Apr!E17)&gt;קריטריונים!$B$1,Apr!B17&gt;קריטריונים!$B$3),Apr!E17,"")</f>
        <v/>
      </c>
      <c r="AK16" s="113" t="str">
        <f>IF(AND(ABS(Mar!K17)&gt;קריטריונים!$B$2,Mar!B17&gt;קריטריונים!$B$3),Mar!K17,"")</f>
        <v/>
      </c>
      <c r="AL16" s="113" t="str">
        <f>IF(AND(ABS(Mar!J17)&gt;קריטריונים!$B$2,Mar!B17&gt;קריטריונים!$B$3),Mar!J17,"")</f>
        <v/>
      </c>
      <c r="AM16" s="113" t="str">
        <f>IF(AND(ABS(Mar!F17)&gt;קריטריונים!$B$1,Mar!B17&gt;קריטריונים!$B$3),Mar!F17,"")</f>
        <v/>
      </c>
      <c r="AN16" s="113" t="str">
        <f>IF(AND(ABS(Mar!E17)&gt;קריטריונים!$B$1,Mar!B17&gt;קריטריונים!$B$3),Mar!E17,"")</f>
        <v/>
      </c>
      <c r="AO16" s="113" t="str">
        <f>IF(AND(ABS(Feb!K17)&gt;קריטריונים!$B$2,Feb!B17&gt;קריטריונים!$B$3),Feb!K17,"")</f>
        <v/>
      </c>
      <c r="AP16" s="113" t="str">
        <f>IF(AND(ABS(Feb!J17)&gt;קריטריונים!$B$2,Feb!B17&gt;קריטריונים!$B$3),Feb!J17,"")</f>
        <v/>
      </c>
      <c r="AQ16" s="113" t="str">
        <f>IF(AND(ABS(Feb!F17)&gt;קריטריונים!$B$1,Feb!B17&gt;קריטריונים!$B$3),Feb!F17,"")</f>
        <v/>
      </c>
      <c r="AR16" s="113" t="str">
        <f>IF(AND(ABS(Feb!G17)&gt;קריטריונים!$B$1,Feb!C17&gt;קריטריונים!$B$3),Feb!G17,"")</f>
        <v/>
      </c>
      <c r="AS16" s="113" t="str">
        <f>IF(AND(ABS(Feb!H17)&gt;קריטריונים!$B$1,Feb!D17&gt;קריטריונים!$B$3),Feb!H17,"")</f>
        <v/>
      </c>
      <c r="AT16" s="103" t="str">
        <f>IF(AND(ABS(Jan!E17)&gt;קריטריונים!$B$1,Jan!B17&gt;קריטריונים!$B$3),Jan!E17,"")</f>
        <v/>
      </c>
      <c r="AU16" s="118" t="s">
        <v>12</v>
      </c>
    </row>
    <row r="17" spans="1:47">
      <c r="A17" s="112" t="str">
        <f>IF(AND(ABS(Dec!K18)&gt;קריטריונים!$B$2,Dec!B18&gt;קריטריונים!$B$3),Dec!K18,"")</f>
        <v/>
      </c>
      <c r="B17" s="113" t="str">
        <f>IF(AND(ABS(Dec!J18)&gt;קריטריונים!$B$2,Dec!B18&gt;קריטריונים!$B$3),Dec!J18,"")</f>
        <v/>
      </c>
      <c r="C17" s="113" t="str">
        <f>IF(AND(ABS(Dec!F18)&gt;קריטריונים!$B$1,Dec!B18&gt;קריטריונים!$B$3),Dec!F18,"")</f>
        <v/>
      </c>
      <c r="D17" s="113" t="str">
        <f>IF(AND(ABS(Dec!E18)&gt;קריטריונים!$B$1,Dec!B18&gt;קריטריונים!$B$3),Dec!E18,"")</f>
        <v/>
      </c>
      <c r="E17" s="113" t="str">
        <f>IF(AND(ABS(Nov!K18)&gt;קריטריונים!$B$2,Nov!B18&gt;קריטריונים!$B$3),Nov!K18,"")</f>
        <v/>
      </c>
      <c r="F17" s="113" t="str">
        <f>IF(AND(ABS(Nov!J18)&gt;קריטריונים!$B$2,Nov!B18&gt;קריטריונים!$B$3),Nov!J18,"")</f>
        <v/>
      </c>
      <c r="G17" s="113" t="str">
        <f>IF(AND(ABS(Nov!F18)&gt;קריטריונים!$B$1,Nov!B18&gt;קריטריונים!$B$3),Nov!F18,"")</f>
        <v/>
      </c>
      <c r="H17" s="113" t="str">
        <f>IF(AND(ABS(Nov!E18)&gt;קריטריונים!$B$1,Nov!B18&gt;קריטריונים!$B$3),Nov!E18,"")</f>
        <v/>
      </c>
      <c r="I17" s="113" t="str">
        <f>IF(AND(ABS(Oct!K18)&gt;קריטריונים!$B$2,Oct!B18&gt;קריטריונים!$B$3),Oct!K18,"")</f>
        <v/>
      </c>
      <c r="J17" s="113" t="str">
        <f>IF(AND(ABS(Oct!J18)&gt;קריטריונים!$B$2,Oct!B18&gt;קריטריונים!$B$3),Oct!J18,"")</f>
        <v/>
      </c>
      <c r="K17" s="113" t="str">
        <f>IF(AND(ABS(Oct!F18)&gt;קריטריונים!$B$1,Oct!B18&gt;קריטריונים!$B$3),Oct!F18,"")</f>
        <v/>
      </c>
      <c r="L17" s="113" t="str">
        <f>IF(AND(ABS(Oct!E18)&gt;קריטריונים!$B$1,Oct!B18&gt;קריטריונים!$B$3),Oct!E18,"")</f>
        <v/>
      </c>
      <c r="M17" s="113" t="str">
        <f>IF(AND(ABS(Sep!K18)&gt;קריטריונים!$B$2,Sep!B18&gt;קריטריונים!$B$3),Sep!K18,"")</f>
        <v/>
      </c>
      <c r="N17" s="113" t="str">
        <f>IF(AND(ABS(Sep!J18)&gt;קריטריונים!$B$2,Sep!B18&gt;קריטריונים!$B$3),Sep!J18,"")</f>
        <v/>
      </c>
      <c r="O17" s="113" t="str">
        <f>IF(AND(ABS(Sep!F18)&gt;קריטריונים!$B$1,Sep!B18&gt;קריטריונים!$B$3),Sep!F18,"")</f>
        <v/>
      </c>
      <c r="P17" s="113" t="str">
        <f>IF(AND(ABS(Sep!E18)&gt;קריטריונים!$B$1,Sep!B18&gt;קריטריונים!$B$3),Sep!E18,"")</f>
        <v/>
      </c>
      <c r="Q17" s="113" t="str">
        <f>IF(AND(ABS(Aug!K18)&gt;קריטריונים!$B$2,Aug!B18&gt;קריטריונים!$B$3),Aug!K18,"")</f>
        <v/>
      </c>
      <c r="R17" s="113" t="str">
        <f>IF(AND(ABS(Aug!J18)&gt;קריטריונים!$B$2,Aug!B18&gt;קריטריונים!$B$3),Aug!J18,"")</f>
        <v/>
      </c>
      <c r="S17" s="113" t="str">
        <f>IF(AND(ABS(Aug!F18)&gt;קריטריונים!$B$1,Aug!B18&gt;קריטריונים!$B$3),Aug!F18,"")</f>
        <v/>
      </c>
      <c r="T17" s="113" t="str">
        <f>IF(AND(ABS(Aug!E18)&gt;קריטריונים!$B$1,Aug!B18&gt;קריטריונים!$B$3),Aug!E18,"")</f>
        <v/>
      </c>
      <c r="U17" s="113" t="str">
        <f>IF(AND(ABS(Jul!K18)&gt;קריטריונים!$B$2,Jul!B18&gt;קריטריונים!$B$3),Jul!K18,"")</f>
        <v/>
      </c>
      <c r="V17" s="113" t="str">
        <f>IF(AND(ABS(Jul!J18)&gt;קריטריונים!$B$2,Jul!B18&gt;קריטריונים!$B$3),Jul!J18,"")</f>
        <v/>
      </c>
      <c r="W17" s="113" t="str">
        <f>IF(AND(ABS(Jul!F18)&gt;קריטריונים!$B$1,Jul!B18&gt;קריטריונים!$B$3),Jul!F18,"")</f>
        <v/>
      </c>
      <c r="X17" s="113" t="str">
        <f>IF(AND(ABS(Jul!E18)&gt;קריטריונים!$B$1,Jul!B18&gt;קריטריונים!$B$3),Jul!E18,"")</f>
        <v/>
      </c>
      <c r="Y17" s="113" t="str">
        <f>IF(AND(ABS(Jun!K18)&gt;קריטריונים!$B$2,Jun!B18&gt;קריטריונים!$B$3),Jun!K18,"")</f>
        <v/>
      </c>
      <c r="Z17" s="113" t="str">
        <f>IF(AND(ABS(Jun!J18)&gt;קריטריונים!$B$2,Jun!B18&gt;קריטריונים!$B$3),Jun!J18,"")</f>
        <v/>
      </c>
      <c r="AA17" s="113" t="str">
        <f>IF(AND(ABS(Jun!F18)&gt;קריטריונים!$B$1,Jun!B18&gt;קריטריונים!$B$3),Jun!F18,"")</f>
        <v/>
      </c>
      <c r="AB17" s="113" t="str">
        <f>IF(AND(ABS(Jun!E18)&gt;קריטריונים!$B$1,Jun!B18&gt;קריטריונים!$B$3),Jun!E18,"")</f>
        <v/>
      </c>
      <c r="AC17" s="113" t="str">
        <f>IF(AND(ABS(May!K18)&gt;קריטריונים!$B$2,May!B18&gt;קריטריונים!$B$3),May!K18,"")</f>
        <v/>
      </c>
      <c r="AD17" s="113" t="str">
        <f>IF(AND(ABS(May!J18)&gt;קריטריונים!$B$2,May!B18&gt;קריטריונים!$B$3),May!J18,"")</f>
        <v/>
      </c>
      <c r="AE17" s="113" t="str">
        <f>IF(AND(ABS(May!F18)&gt;קריטריונים!$B$1,May!B18&gt;קריטריונים!$B$3),May!F18,"")</f>
        <v/>
      </c>
      <c r="AF17" s="113" t="str">
        <f>IF(AND(ABS(May!E18)&gt;קריטריונים!$B$1,May!B18&gt;קריטריונים!$B$3),May!E18,"")</f>
        <v/>
      </c>
      <c r="AG17" s="113" t="str">
        <f>IF(AND(ABS(Apr!K18)&gt;קריטריונים!$B$2,Apr!B18&gt;קריטריונים!$B$3),Apr!K18,"")</f>
        <v/>
      </c>
      <c r="AH17" s="113" t="str">
        <f>IF(AND(ABS(Apr!J18)&gt;קריטריונים!$B$2,Apr!B18&gt;קריטריונים!$B$3),Apr!J18,"")</f>
        <v/>
      </c>
      <c r="AI17" s="113" t="str">
        <f>IF(AND(ABS(Apr!F18)&gt;קריטריונים!$B$1,Apr!B18&gt;קריטריונים!$B$3),Apr!F18,"")</f>
        <v/>
      </c>
      <c r="AJ17" s="113" t="str">
        <f>IF(AND(ABS(Apr!E18)&gt;קריטריונים!$B$1,Apr!B18&gt;קריטריונים!$B$3),Apr!E18,"")</f>
        <v/>
      </c>
      <c r="AK17" s="113" t="str">
        <f>IF(AND(ABS(Mar!K18)&gt;קריטריונים!$B$2,Mar!B18&gt;קריטריונים!$B$3),Mar!K18,"")</f>
        <v/>
      </c>
      <c r="AL17" s="113" t="str">
        <f>IF(AND(ABS(Mar!J18)&gt;קריטריונים!$B$2,Mar!B18&gt;קריטריונים!$B$3),Mar!J18,"")</f>
        <v/>
      </c>
      <c r="AM17" s="113" t="str">
        <f>IF(AND(ABS(Mar!F18)&gt;קריטריונים!$B$1,Mar!B18&gt;קריטריונים!$B$3),Mar!F18,"")</f>
        <v/>
      </c>
      <c r="AN17" s="113" t="str">
        <f>IF(AND(ABS(Mar!E18)&gt;קריטריונים!$B$1,Mar!B18&gt;קריטריונים!$B$3),Mar!E18,"")</f>
        <v/>
      </c>
      <c r="AO17" s="113" t="str">
        <f>IF(AND(ABS(Feb!K18)&gt;קריטריונים!$B$2,Feb!B18&gt;קריטריונים!$B$3),Feb!K18,"")</f>
        <v/>
      </c>
      <c r="AP17" s="113" t="str">
        <f>IF(AND(ABS(Feb!J18)&gt;קריטריונים!$B$2,Feb!B18&gt;קריטריונים!$B$3),Feb!J18,"")</f>
        <v/>
      </c>
      <c r="AQ17" s="113" t="str">
        <f>IF(AND(ABS(Feb!F18)&gt;קריטריונים!$B$1,Feb!B18&gt;קריטריונים!$B$3),Feb!F18,"")</f>
        <v/>
      </c>
      <c r="AR17" s="113" t="str">
        <f>IF(AND(ABS(Feb!G18)&gt;קריטריונים!$B$1,Feb!C18&gt;קריטריונים!$B$3),Feb!G18,"")</f>
        <v/>
      </c>
      <c r="AS17" s="113" t="str">
        <f>IF(AND(ABS(Feb!H18)&gt;קריטריונים!$B$1,Feb!D18&gt;קריטריונים!$B$3),Feb!H18,"")</f>
        <v/>
      </c>
      <c r="AT17" s="103" t="str">
        <f>IF(AND(ABS(Jan!E18)&gt;קריטריונים!$B$1,Jan!B18&gt;קריטריונים!$B$3),Jan!E18,"")</f>
        <v/>
      </c>
      <c r="AU17" s="118" t="s">
        <v>13</v>
      </c>
    </row>
    <row r="18" spans="1:47">
      <c r="A18" s="112" t="str">
        <f>IF(AND(ABS(Dec!K19)&gt;קריטריונים!$B$2,Dec!B19&gt;קריטריונים!$B$3),Dec!K19,"")</f>
        <v/>
      </c>
      <c r="B18" s="113" t="str">
        <f>IF(AND(ABS(Dec!J19)&gt;קריטריונים!$B$2,Dec!B19&gt;קריטריונים!$B$3),Dec!J19,"")</f>
        <v/>
      </c>
      <c r="C18" s="113" t="str">
        <f>IF(AND(ABS(Dec!F19)&gt;קריטריונים!$B$1,Dec!B19&gt;קריטריונים!$B$3),Dec!F19,"")</f>
        <v/>
      </c>
      <c r="D18" s="113" t="str">
        <f>IF(AND(ABS(Dec!E19)&gt;קריטריונים!$B$1,Dec!B19&gt;קריטריונים!$B$3),Dec!E19,"")</f>
        <v/>
      </c>
      <c r="E18" s="113">
        <f>IF(AND(ABS(Nov!K19)&gt;קריטריונים!$B$2,Nov!B19&gt;קריטריונים!$B$3),Nov!K19,"")</f>
        <v>0.94072657743785837</v>
      </c>
      <c r="F18" s="113">
        <f>IF(AND(ABS(Nov!J19)&gt;קריטריונים!$B$2,Nov!B19&gt;קריטריונים!$B$3),Nov!J19,"")</f>
        <v>0.55317521040550899</v>
      </c>
      <c r="G18" s="113">
        <f>IF(AND(ABS(Nov!F19)&gt;קריטריונים!$B$1,Nov!B19&gt;קריטריונים!$B$3),Nov!F19,"")</f>
        <v>2.1159420289855073</v>
      </c>
      <c r="H18" s="113">
        <f>IF(AND(ABS(Nov!E19)&gt;קריטריונים!$B$1,Nov!B19&gt;קריטריונים!$B$3),Nov!E19,"")</f>
        <v>0.77173465183353929</v>
      </c>
      <c r="I18" s="113">
        <f>IF(AND(ABS(Oct!K19)&gt;קריטריונים!$B$2,Oct!B19&gt;קריטריונים!$B$3),Oct!K19,"")</f>
        <v>0.76211453744493385</v>
      </c>
      <c r="J18" s="113">
        <f>IF(AND(ABS(Oct!J19)&gt;קריטריונים!$B$2,Oct!B19&gt;קריטריונים!$B$3),Oct!J19,"")</f>
        <v>0.50333552569764173</v>
      </c>
      <c r="K18" s="113">
        <f>IF(AND(ABS(Oct!F19)&gt;קריטריונים!$B$1,Oct!B19&gt;קריטריונים!$B$3),Oct!F19,"")</f>
        <v>1.1868787276341948</v>
      </c>
      <c r="L18" s="113">
        <f>IF(AND(ABS(Oct!E19)&gt;קריטריונים!$B$1,Oct!B19&gt;קריטריונים!$B$3),Oct!E19,"")</f>
        <v>0.50068212824010927</v>
      </c>
      <c r="M18" s="113">
        <f>IF(AND(ABS(Sep!K19)&gt;קריטריונים!$B$2,Sep!B19&gt;קריטריונים!$B$3),Sep!K19,"")</f>
        <v>0.67745344076079772</v>
      </c>
      <c r="N18" s="113">
        <f>IF(AND(ABS(Sep!J19)&gt;קריטריונים!$B$2,Sep!B19&gt;קריטריונים!$B$3),Sep!J19,"")</f>
        <v>0.50402652771198486</v>
      </c>
      <c r="O18" s="113">
        <f>IF(AND(ABS(Sep!F19)&gt;קריטריונים!$B$1,Sep!B19&gt;קריטריונים!$B$3),Sep!F19,"")</f>
        <v>0.4285714285714286</v>
      </c>
      <c r="P18" s="113">
        <f>IF(AND(ABS(Sep!E19)&gt;קריטריונים!$B$1,Sep!B19&gt;קריטריונים!$B$3),Sep!E19,"")</f>
        <v>0.33333333333333348</v>
      </c>
      <c r="Q18" s="113" t="str">
        <f>IF(AND(ABS(Aug!K19)&gt;קריטריונים!$B$2,Aug!B19&gt;קריטריונים!$B$3),Aug!K19,"")</f>
        <v/>
      </c>
      <c r="R18" s="113" t="str">
        <f>IF(AND(ABS(Aug!J19)&gt;קריטריונים!$B$2,Aug!B19&gt;קריטריונים!$B$3),Aug!J19,"")</f>
        <v/>
      </c>
      <c r="S18" s="113" t="str">
        <f>IF(AND(ABS(Aug!F19)&gt;קריטריונים!$B$1,Aug!B19&gt;קריטריונים!$B$3),Aug!F19,"")</f>
        <v/>
      </c>
      <c r="T18" s="113" t="str">
        <f>IF(AND(ABS(Aug!E19)&gt;קריטריונים!$B$1,Aug!B19&gt;קריטריונים!$B$3),Aug!E19,"")</f>
        <v/>
      </c>
      <c r="U18" s="113" t="str">
        <f>IF(AND(ABS(Jul!K19)&gt;קריטריונים!$B$2,Jul!B19&gt;קריטריונים!$B$3),Jul!K19,"")</f>
        <v/>
      </c>
      <c r="V18" s="113" t="str">
        <f>IF(AND(ABS(Jul!J19)&gt;קריטריונים!$B$2,Jul!B19&gt;קריטריונים!$B$3),Jul!J19,"")</f>
        <v/>
      </c>
      <c r="W18" s="113" t="str">
        <f>IF(AND(ABS(Jul!F19)&gt;קריטריונים!$B$1,Jul!B19&gt;קריטריונים!$B$3),Jul!F19,"")</f>
        <v/>
      </c>
      <c r="X18" s="113" t="str">
        <f>IF(AND(ABS(Jul!E19)&gt;קריטריונים!$B$1,Jul!B19&gt;קריטריונים!$B$3),Jul!E19,"")</f>
        <v/>
      </c>
      <c r="Y18" s="113" t="str">
        <f>IF(AND(ABS(Jun!K19)&gt;קריטריונים!$B$2,Jun!B19&gt;קריטריונים!$B$3),Jun!K19,"")</f>
        <v/>
      </c>
      <c r="Z18" s="113" t="str">
        <f>IF(AND(ABS(Jun!J19)&gt;קריטריונים!$B$2,Jun!B19&gt;קריטריונים!$B$3),Jun!J19,"")</f>
        <v/>
      </c>
      <c r="AA18" s="113" t="str">
        <f>IF(AND(ABS(Jun!F19)&gt;קריטריונים!$B$1,Jun!B19&gt;קריטריונים!$B$3),Jun!F19,"")</f>
        <v/>
      </c>
      <c r="AB18" s="113" t="str">
        <f>IF(AND(ABS(Jun!E19)&gt;קריטריונים!$B$1,Jun!B19&gt;קריטריונים!$B$3),Jun!E19,"")</f>
        <v/>
      </c>
      <c r="AC18" s="113">
        <f>IF(AND(ABS(May!K19)&gt;קריטריונים!$B$2,May!B19&gt;קריטריונים!$B$3),May!K19,"")</f>
        <v>0.68758113370835128</v>
      </c>
      <c r="AD18" s="113">
        <f>IF(AND(ABS(May!J19)&gt;קריטריונים!$B$2,May!B19&gt;קריטריונים!$B$3),May!J19,"")</f>
        <v>0.57289776164549289</v>
      </c>
      <c r="AE18" s="113">
        <f>IF(AND(ABS(May!F19)&gt;קריטריונים!$B$1,May!B19&gt;קריטריונים!$B$3),May!F19,"")</f>
        <v>0.65631469979296075</v>
      </c>
      <c r="AF18" s="113">
        <f>IF(AND(ABS(May!E19)&gt;קריטריונים!$B$1,May!B19&gt;קריטריונים!$B$3),May!E19,"")</f>
        <v>0.23076923076923084</v>
      </c>
      <c r="AG18" s="113">
        <f>IF(AND(ABS(Apr!K19)&gt;קריטריונים!$B$2,Apr!B19&gt;קריטריונים!$B$3),Apr!K19,"")</f>
        <v>0.69584245076586426</v>
      </c>
      <c r="AH18" s="113">
        <f>IF(AND(ABS(Apr!J19)&gt;קריטריונים!$B$2,Apr!B19&gt;קריטריונים!$B$3),Apr!J19,"")</f>
        <v>0.69445203607543027</v>
      </c>
      <c r="AI18" s="113">
        <f>IF(AND(ABS(Apr!F19)&gt;קריטריונים!$B$1,Apr!B19&gt;קריטריונים!$B$3),Apr!F19,"")</f>
        <v>0.24703087885985764</v>
      </c>
      <c r="AJ18" s="113">
        <f>IF(AND(ABS(Apr!E19)&gt;קריטריונים!$B$1,Apr!B19&gt;קריטריונים!$B$3),Apr!E19,"")</f>
        <v>1.0487804878048781</v>
      </c>
      <c r="AK18" s="113">
        <f>IF(AND(ABS(Mar!K19)&gt;קריטריונים!$B$2,Mar!B19&gt;קריטריונים!$B$3),Mar!K19,"")</f>
        <v>1.079107505070994</v>
      </c>
      <c r="AL18" s="113">
        <f>IF(AND(ABS(Mar!J19)&gt;קריטריונים!$B$2,Mar!B19&gt;קריטריונים!$B$3),Mar!J19,"")</f>
        <v>0.55656795747911914</v>
      </c>
      <c r="AM18" s="113">
        <f>IF(AND(ABS(Mar!F19)&gt;קריטריונים!$B$1,Mar!B19&gt;קריטריונים!$B$3),Mar!F19,"")</f>
        <v>1.4890190336749631</v>
      </c>
      <c r="AN18" s="113">
        <f>IF(AND(ABS(Mar!E19)&gt;קריטריונים!$B$1,Mar!B19&gt;קריטריונים!$B$3),Mar!E19,"")</f>
        <v>0.52329749103942635</v>
      </c>
      <c r="AO18" s="113">
        <f>IF(AND(ABS(Feb!K19)&gt;קריטריונים!$B$2,Feb!B19&gt;קריטריונים!$B$3),Feb!K19,"")</f>
        <v>0.86190845616757183</v>
      </c>
      <c r="AP18" s="113">
        <f>IF(AND(ABS(Feb!J19)&gt;קריטריונים!$B$2,Feb!B19&gt;קריטריונים!$B$3),Feb!J19,"")</f>
        <v>0.58102766798418992</v>
      </c>
      <c r="AQ18" s="113">
        <f>IF(AND(ABS(Feb!F19)&gt;קריטריונים!$B$1,Feb!B19&gt;קריטריונים!$B$3),Feb!F19,"")</f>
        <v>1.2222222222222223</v>
      </c>
      <c r="AR18" s="113" t="str">
        <f>IF(AND(ABS(Feb!G19)&gt;קריטריונים!$B$1,Feb!C19&gt;קריטריונים!$B$3),Feb!G19,"")</f>
        <v/>
      </c>
      <c r="AS18" s="113" t="str">
        <f>IF(AND(ABS(Feb!H19)&gt;קריטריונים!$B$1,Feb!D19&gt;קריטריונים!$B$3),Feb!H19,"")</f>
        <v/>
      </c>
      <c r="AT18" s="103" t="str">
        <f>IF(AND(ABS(Jan!E19)&gt;קריטריונים!$B$1,Jan!B19&gt;קריטריונים!$B$3),Jan!E19,"")</f>
        <v/>
      </c>
      <c r="AU18" s="118" t="s">
        <v>14</v>
      </c>
    </row>
    <row r="19" spans="1:47">
      <c r="A19" s="112" t="str">
        <f>IF(AND(ABS(Dec!K20)&gt;קריטריונים!$B$2,Dec!B20&gt;קריטריונים!$B$3),Dec!K20,"")</f>
        <v/>
      </c>
      <c r="B19" s="113" t="str">
        <f>IF(AND(ABS(Dec!J20)&gt;קריטריונים!$B$2,Dec!B20&gt;קריטריונים!$B$3),Dec!J20,"")</f>
        <v/>
      </c>
      <c r="C19" s="113" t="str">
        <f>IF(AND(ABS(Dec!F20)&gt;קריטריונים!$B$1,Dec!B20&gt;קריטריונים!$B$3),Dec!F20,"")</f>
        <v/>
      </c>
      <c r="D19" s="113" t="str">
        <f>IF(AND(ABS(Dec!E20)&gt;קריטריונים!$B$1,Dec!B20&gt;קריטריונים!$B$3),Dec!E20,"")</f>
        <v/>
      </c>
      <c r="E19" s="113" t="str">
        <f>IF(AND(ABS(Nov!K20)&gt;קריטריונים!$B$2,Nov!B20&gt;קריטריונים!$B$3),Nov!K20,"")</f>
        <v/>
      </c>
      <c r="F19" s="113" t="str">
        <f>IF(AND(ABS(Nov!J20)&gt;קריטריונים!$B$2,Nov!B20&gt;קריטריונים!$B$3),Nov!J20,"")</f>
        <v/>
      </c>
      <c r="G19" s="113" t="str">
        <f>IF(AND(ABS(Nov!F20)&gt;קריטריונים!$B$1,Nov!B20&gt;קריטריונים!$B$3),Nov!F20,"")</f>
        <v/>
      </c>
      <c r="H19" s="113" t="str">
        <f>IF(AND(ABS(Nov!E20)&gt;קריטריונים!$B$1,Nov!B20&gt;קריטריונים!$B$3),Nov!E20,"")</f>
        <v/>
      </c>
      <c r="I19" s="113" t="str">
        <f>IF(AND(ABS(Oct!K20)&gt;קריטריונים!$B$2,Oct!B20&gt;קריטריונים!$B$3),Oct!K20,"")</f>
        <v/>
      </c>
      <c r="J19" s="113" t="str">
        <f>IF(AND(ABS(Oct!J20)&gt;קריטריונים!$B$2,Oct!B20&gt;קריטריונים!$B$3),Oct!J20,"")</f>
        <v/>
      </c>
      <c r="K19" s="113" t="str">
        <f>IF(AND(ABS(Oct!F20)&gt;קריטריונים!$B$1,Oct!B20&gt;קריטריונים!$B$3),Oct!F20,"")</f>
        <v/>
      </c>
      <c r="L19" s="113" t="str">
        <f>IF(AND(ABS(Oct!E20)&gt;קריטריונים!$B$1,Oct!B20&gt;קריטריונים!$B$3),Oct!E20,"")</f>
        <v/>
      </c>
      <c r="M19" s="113" t="str">
        <f>IF(AND(ABS(Sep!K20)&gt;קריטריונים!$B$2,Sep!B20&gt;קריטריונים!$B$3),Sep!K20,"")</f>
        <v/>
      </c>
      <c r="N19" s="113" t="str">
        <f>IF(AND(ABS(Sep!J20)&gt;קריטריונים!$B$2,Sep!B20&gt;קריטריונים!$B$3),Sep!J20,"")</f>
        <v/>
      </c>
      <c r="O19" s="113" t="str">
        <f>IF(AND(ABS(Sep!F20)&gt;קריטריונים!$B$1,Sep!B20&gt;קריטריונים!$B$3),Sep!F20,"")</f>
        <v/>
      </c>
      <c r="P19" s="113" t="str">
        <f>IF(AND(ABS(Sep!E20)&gt;קריטריונים!$B$1,Sep!B20&gt;קריטריונים!$B$3),Sep!E20,"")</f>
        <v/>
      </c>
      <c r="Q19" s="113" t="str">
        <f>IF(AND(ABS(Aug!K20)&gt;קריטריונים!$B$2,Aug!B20&gt;קריטריונים!$B$3),Aug!K20,"")</f>
        <v/>
      </c>
      <c r="R19" s="113" t="str">
        <f>IF(AND(ABS(Aug!J20)&gt;קריטריונים!$B$2,Aug!B20&gt;קריטריונים!$B$3),Aug!J20,"")</f>
        <v/>
      </c>
      <c r="S19" s="113" t="str">
        <f>IF(AND(ABS(Aug!F20)&gt;קריטריונים!$B$1,Aug!B20&gt;קריטריונים!$B$3),Aug!F20,"")</f>
        <v/>
      </c>
      <c r="T19" s="113" t="str">
        <f>IF(AND(ABS(Aug!E20)&gt;קריטריונים!$B$1,Aug!B20&gt;קריטריונים!$B$3),Aug!E20,"")</f>
        <v/>
      </c>
      <c r="U19" s="113" t="str">
        <f>IF(AND(ABS(Jul!K20)&gt;קריטריונים!$B$2,Jul!B20&gt;קריטריונים!$B$3),Jul!K20,"")</f>
        <v/>
      </c>
      <c r="V19" s="113" t="str">
        <f>IF(AND(ABS(Jul!J20)&gt;קריטריונים!$B$2,Jul!B20&gt;קריטריונים!$B$3),Jul!J20,"")</f>
        <v/>
      </c>
      <c r="W19" s="113" t="str">
        <f>IF(AND(ABS(Jul!F20)&gt;קריטריונים!$B$1,Jul!B20&gt;קריטריונים!$B$3),Jul!F20,"")</f>
        <v/>
      </c>
      <c r="X19" s="113" t="str">
        <f>IF(AND(ABS(Jul!E20)&gt;קריטריונים!$B$1,Jul!B20&gt;קריטריונים!$B$3),Jul!E20,"")</f>
        <v/>
      </c>
      <c r="Y19" s="113" t="str">
        <f>IF(AND(ABS(Jun!K20)&gt;קריטריונים!$B$2,Jun!B20&gt;קריטריונים!$B$3),Jun!K20,"")</f>
        <v/>
      </c>
      <c r="Z19" s="113" t="str">
        <f>IF(AND(ABS(Jun!J20)&gt;קריטריונים!$B$2,Jun!B20&gt;קריטריונים!$B$3),Jun!J20,"")</f>
        <v/>
      </c>
      <c r="AA19" s="113" t="str">
        <f>IF(AND(ABS(Jun!F20)&gt;קריטריונים!$B$1,Jun!B20&gt;קריטריונים!$B$3),Jun!F20,"")</f>
        <v/>
      </c>
      <c r="AB19" s="113" t="str">
        <f>IF(AND(ABS(Jun!E20)&gt;קריטריונים!$B$1,Jun!B20&gt;קריטריונים!$B$3),Jun!E20,"")</f>
        <v/>
      </c>
      <c r="AC19" s="113" t="str">
        <f>IF(AND(ABS(May!K20)&gt;קריטריונים!$B$2,May!B20&gt;קריטריונים!$B$3),May!K20,"")</f>
        <v/>
      </c>
      <c r="AD19" s="113" t="str">
        <f>IF(AND(ABS(May!J20)&gt;קריטריונים!$B$2,May!B20&gt;קריטריונים!$B$3),May!J20,"")</f>
        <v/>
      </c>
      <c r="AE19" s="113" t="str">
        <f>IF(AND(ABS(May!F20)&gt;קריטריונים!$B$1,May!B20&gt;קריטריונים!$B$3),May!F20,"")</f>
        <v/>
      </c>
      <c r="AF19" s="113" t="str">
        <f>IF(AND(ABS(May!E20)&gt;קריטריונים!$B$1,May!B20&gt;קריטריונים!$B$3),May!E20,"")</f>
        <v/>
      </c>
      <c r="AG19" s="113" t="str">
        <f>IF(AND(ABS(Apr!K20)&gt;קריטריונים!$B$2,Apr!B20&gt;קריטריונים!$B$3),Apr!K20,"")</f>
        <v/>
      </c>
      <c r="AH19" s="113" t="str">
        <f>IF(AND(ABS(Apr!J20)&gt;קריטריונים!$B$2,Apr!B20&gt;קריטריונים!$B$3),Apr!J20,"")</f>
        <v/>
      </c>
      <c r="AI19" s="113" t="str">
        <f>IF(AND(ABS(Apr!F20)&gt;קריטריונים!$B$1,Apr!B20&gt;קריטריונים!$B$3),Apr!F20,"")</f>
        <v/>
      </c>
      <c r="AJ19" s="113" t="str">
        <f>IF(AND(ABS(Apr!E20)&gt;קריטריונים!$B$1,Apr!B20&gt;קריטריונים!$B$3),Apr!E20,"")</f>
        <v/>
      </c>
      <c r="AK19" s="113" t="str">
        <f>IF(AND(ABS(Mar!K20)&gt;קריטריונים!$B$2,Mar!B20&gt;קריטריונים!$B$3),Mar!K20,"")</f>
        <v/>
      </c>
      <c r="AL19" s="113" t="str">
        <f>IF(AND(ABS(Mar!J20)&gt;קריטריונים!$B$2,Mar!B20&gt;קריטריונים!$B$3),Mar!J20,"")</f>
        <v/>
      </c>
      <c r="AM19" s="113" t="str">
        <f>IF(AND(ABS(Mar!F20)&gt;קריטריונים!$B$1,Mar!B20&gt;קריטריונים!$B$3),Mar!F20,"")</f>
        <v/>
      </c>
      <c r="AN19" s="113" t="str">
        <f>IF(AND(ABS(Mar!E20)&gt;קריטריונים!$B$1,Mar!B20&gt;קריטריונים!$B$3),Mar!E20,"")</f>
        <v/>
      </c>
      <c r="AO19" s="113" t="str">
        <f>IF(AND(ABS(Feb!K20)&gt;קריטריונים!$B$2,Feb!B20&gt;קריטריונים!$B$3),Feb!K20,"")</f>
        <v/>
      </c>
      <c r="AP19" s="113" t="str">
        <f>IF(AND(ABS(Feb!J20)&gt;קריטריונים!$B$2,Feb!B20&gt;קריטריונים!$B$3),Feb!J20,"")</f>
        <v/>
      </c>
      <c r="AQ19" s="113" t="str">
        <f>IF(AND(ABS(Feb!F20)&gt;קריטריונים!$B$1,Feb!B20&gt;קריטריונים!$B$3),Feb!F20,"")</f>
        <v/>
      </c>
      <c r="AR19" s="113" t="str">
        <f>IF(AND(ABS(Feb!G20)&gt;קריטריונים!$B$1,Feb!C20&gt;קריטריונים!$B$3),Feb!G20,"")</f>
        <v/>
      </c>
      <c r="AS19" s="113" t="str">
        <f>IF(AND(ABS(Feb!H20)&gt;קריטריונים!$B$1,Feb!D20&gt;קריטריונים!$B$3),Feb!H20,"")</f>
        <v/>
      </c>
      <c r="AT19" s="103" t="str">
        <f>IF(AND(ABS(Jan!E20)&gt;קריטריונים!$B$1,Jan!B20&gt;קריטריונים!$B$3),Jan!E20,"")</f>
        <v/>
      </c>
      <c r="AU19" s="118"/>
    </row>
    <row r="20" spans="1:47">
      <c r="A20" s="112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>
        <f>IF(AND(ABS(Feb!G21)&gt;קריטריונים!$B$1,Feb!C21&gt;קריטריונים!$B$3),Feb!G21,"")</f>
        <v>10.8</v>
      </c>
      <c r="AS20" s="113">
        <f>IF(AND(ABS(Feb!H21)&gt;קריטריונים!$B$1,Feb!D21&gt;קריטריונים!$B$3),Feb!H21,"")</f>
        <v>8.3629999999999995</v>
      </c>
      <c r="AT20" s="103">
        <f>IF(AND(ABS(Jan!E21)&gt;קריטריונים!$B$1,Jan!B21&gt;קריטריונים!$B$3),Jan!E21,"")</f>
        <v>0.32281271756788121</v>
      </c>
      <c r="AU20" s="118" t="s">
        <v>15</v>
      </c>
    </row>
    <row r="21" spans="1:47">
      <c r="A21" s="112" t="str">
        <f>IF(AND(ABS(Dec!K22)&gt;קריטריונים!$B$2,Dec!B22&gt;קריטריונים!$B$3),Dec!K22,"")</f>
        <v/>
      </c>
      <c r="B21" s="113" t="str">
        <f>IF(AND(ABS(Dec!J22)&gt;קריטריונים!$B$2,Dec!B22&gt;קריטריונים!$B$3),Dec!J22,"")</f>
        <v/>
      </c>
      <c r="C21" s="113" t="str">
        <f>IF(AND(ABS(Dec!F22)&gt;קריטריונים!$B$1,Dec!B22&gt;קריטריונים!$B$3),Dec!F22,"")</f>
        <v/>
      </c>
      <c r="D21" s="113" t="str">
        <f>IF(AND(ABS(Dec!E22)&gt;קריטריונים!$B$1,Dec!B22&gt;קריטריונים!$B$3),Dec!E22,"")</f>
        <v/>
      </c>
      <c r="E21" s="113" t="str">
        <f>IF(AND(ABS(Nov!K22)&gt;קריטריונים!$B$2,Nov!B22&gt;קריטריונים!$B$3),Nov!K22,"")</f>
        <v/>
      </c>
      <c r="F21" s="113" t="str">
        <f>IF(AND(ABS(Nov!J22)&gt;קריטריונים!$B$2,Nov!B22&gt;קריטריונים!$B$3),Nov!J22,"")</f>
        <v/>
      </c>
      <c r="G21" s="113" t="str">
        <f>IF(AND(ABS(Nov!F22)&gt;קריטריונים!$B$1,Nov!B22&gt;קריטריונים!$B$3),Nov!F22,"")</f>
        <v/>
      </c>
      <c r="H21" s="113" t="str">
        <f>IF(AND(ABS(Nov!E22)&gt;קריטריונים!$B$1,Nov!B22&gt;קריטריונים!$B$3),Nov!E22,"")</f>
        <v/>
      </c>
      <c r="I21" s="113" t="str">
        <f>IF(AND(ABS(Oct!K22)&gt;קריטריונים!$B$2,Oct!B22&gt;קריטריונים!$B$3),Oct!K22,"")</f>
        <v/>
      </c>
      <c r="J21" s="113" t="str">
        <f>IF(AND(ABS(Oct!J22)&gt;קריטריונים!$B$2,Oct!B22&gt;קריטריונים!$B$3),Oct!J22,"")</f>
        <v/>
      </c>
      <c r="K21" s="113" t="str">
        <f>IF(AND(ABS(Oct!F22)&gt;קריטריונים!$B$1,Oct!B22&gt;קריטריונים!$B$3),Oct!F22,"")</f>
        <v/>
      </c>
      <c r="L21" s="113" t="str">
        <f>IF(AND(ABS(Oct!E22)&gt;קריטריונים!$B$1,Oct!B22&gt;קריטריונים!$B$3),Oct!E22,"")</f>
        <v/>
      </c>
      <c r="M21" s="113" t="str">
        <f>IF(AND(ABS(Sep!K22)&gt;קריטריונים!$B$2,Sep!B22&gt;קריטריונים!$B$3),Sep!K22,"")</f>
        <v/>
      </c>
      <c r="N21" s="113" t="str">
        <f>IF(AND(ABS(Sep!J22)&gt;קריטריונים!$B$2,Sep!B22&gt;קריטריונים!$B$3),Sep!J22,"")</f>
        <v/>
      </c>
      <c r="O21" s="113" t="str">
        <f>IF(AND(ABS(Sep!F22)&gt;קריטריונים!$B$1,Sep!B22&gt;קריטריונים!$B$3),Sep!F22,"")</f>
        <v/>
      </c>
      <c r="P21" s="113" t="str">
        <f>IF(AND(ABS(Sep!E22)&gt;קריטריונים!$B$1,Sep!B22&gt;קריטריונים!$B$3),Sep!E22,"")</f>
        <v/>
      </c>
      <c r="Q21" s="113" t="str">
        <f>IF(AND(ABS(Aug!K22)&gt;קריטריונים!$B$2,Aug!B22&gt;קריטריונים!$B$3),Aug!K22,"")</f>
        <v/>
      </c>
      <c r="R21" s="113" t="str">
        <f>IF(AND(ABS(Aug!J22)&gt;קריטריונים!$B$2,Aug!B22&gt;קריטריונים!$B$3),Aug!J22,"")</f>
        <v/>
      </c>
      <c r="S21" s="113" t="str">
        <f>IF(AND(ABS(Aug!F22)&gt;קריטריונים!$B$1,Aug!B22&gt;קריטריונים!$B$3),Aug!F22,"")</f>
        <v/>
      </c>
      <c r="T21" s="113" t="str">
        <f>IF(AND(ABS(Aug!E22)&gt;קריטריונים!$B$1,Aug!B22&gt;קריטריונים!$B$3),Aug!E22,"")</f>
        <v/>
      </c>
      <c r="U21" s="113" t="str">
        <f>IF(AND(ABS(Jul!K22)&gt;קריטריונים!$B$2,Jul!B22&gt;קריטריונים!$B$3),Jul!K22,"")</f>
        <v/>
      </c>
      <c r="V21" s="113" t="str">
        <f>IF(AND(ABS(Jul!J22)&gt;קריטריונים!$B$2,Jul!B22&gt;קריטריונים!$B$3),Jul!J22,"")</f>
        <v/>
      </c>
      <c r="W21" s="113" t="str">
        <f>IF(AND(ABS(Jul!F22)&gt;קריטריונים!$B$1,Jul!B22&gt;קריטריונים!$B$3),Jul!F22,"")</f>
        <v/>
      </c>
      <c r="X21" s="113" t="str">
        <f>IF(AND(ABS(Jul!E22)&gt;קריטריונים!$B$1,Jul!B22&gt;קריטריונים!$B$3),Jul!E22,"")</f>
        <v/>
      </c>
      <c r="Y21" s="113" t="str">
        <f>IF(AND(ABS(Jun!K22)&gt;קריטריונים!$B$2,Jun!B22&gt;קריטריונים!$B$3),Jun!K22,"")</f>
        <v/>
      </c>
      <c r="Z21" s="113" t="str">
        <f>IF(AND(ABS(Jun!J22)&gt;קריטריונים!$B$2,Jun!B22&gt;קריטריונים!$B$3),Jun!J22,"")</f>
        <v/>
      </c>
      <c r="AA21" s="113" t="str">
        <f>IF(AND(ABS(Jun!F22)&gt;קריטריונים!$B$1,Jun!B22&gt;קריטריונים!$B$3),Jun!F22,"")</f>
        <v/>
      </c>
      <c r="AB21" s="113" t="str">
        <f>IF(AND(ABS(Jun!E22)&gt;קריטריונים!$B$1,Jun!B22&gt;קריטריונים!$B$3),Jun!E22,"")</f>
        <v/>
      </c>
      <c r="AC21" s="113" t="str">
        <f>IF(AND(ABS(May!K22)&gt;קריטריונים!$B$2,May!B22&gt;קריטריונים!$B$3),May!K22,"")</f>
        <v/>
      </c>
      <c r="AD21" s="113" t="str">
        <f>IF(AND(ABS(May!J22)&gt;קריטריונים!$B$2,May!B22&gt;קריטריונים!$B$3),May!J22,"")</f>
        <v/>
      </c>
      <c r="AE21" s="113" t="str">
        <f>IF(AND(ABS(May!F22)&gt;קריטריונים!$B$1,May!B22&gt;קריטריונים!$B$3),May!F22,"")</f>
        <v/>
      </c>
      <c r="AF21" s="113" t="str">
        <f>IF(AND(ABS(May!E22)&gt;קריטריונים!$B$1,May!B22&gt;קריטריונים!$B$3),May!E22,"")</f>
        <v/>
      </c>
      <c r="AG21" s="113" t="str">
        <f>IF(AND(ABS(Apr!K22)&gt;קריטריונים!$B$2,Apr!B22&gt;קריטריונים!$B$3),Apr!K22,"")</f>
        <v/>
      </c>
      <c r="AH21" s="113" t="str">
        <f>IF(AND(ABS(Apr!J22)&gt;קריטריונים!$B$2,Apr!B22&gt;קריטריונים!$B$3),Apr!J22,"")</f>
        <v/>
      </c>
      <c r="AI21" s="113" t="str">
        <f>IF(AND(ABS(Apr!F22)&gt;קריטריונים!$B$1,Apr!B22&gt;קריטריונים!$B$3),Apr!F22,"")</f>
        <v/>
      </c>
      <c r="AJ21" s="113" t="str">
        <f>IF(AND(ABS(Apr!E22)&gt;קריטריונים!$B$1,Apr!B22&gt;קריטריונים!$B$3),Apr!E22,"")</f>
        <v/>
      </c>
      <c r="AK21" s="113" t="str">
        <f>IF(AND(ABS(Mar!K22)&gt;קריטריונים!$B$2,Mar!B22&gt;קריטריונים!$B$3),Mar!K22,"")</f>
        <v/>
      </c>
      <c r="AL21" s="113" t="str">
        <f>IF(AND(ABS(Mar!J22)&gt;קריטריונים!$B$2,Mar!B22&gt;קריטריונים!$B$3),Mar!J22,"")</f>
        <v/>
      </c>
      <c r="AM21" s="113" t="str">
        <f>IF(AND(ABS(Mar!F22)&gt;קריטריונים!$B$1,Mar!B22&gt;קריטריונים!$B$3),Mar!F22,"")</f>
        <v/>
      </c>
      <c r="AN21" s="113" t="str">
        <f>IF(AND(ABS(Mar!E22)&gt;קריטריונים!$B$1,Mar!B22&gt;קריטריונים!$B$3),Mar!E22,"")</f>
        <v/>
      </c>
      <c r="AO21" s="113" t="str">
        <f>IF(AND(ABS(Feb!K22)&gt;קריטריונים!$B$2,Feb!B22&gt;קריטריונים!$B$3),Feb!K22,"")</f>
        <v/>
      </c>
      <c r="AP21" s="113" t="str">
        <f>IF(AND(ABS(Feb!J22)&gt;קריטריונים!$B$2,Feb!B22&gt;קריטריונים!$B$3),Feb!J22,"")</f>
        <v/>
      </c>
      <c r="AQ21" s="113" t="str">
        <f>IF(AND(ABS(Feb!F22)&gt;קריטריונים!$B$1,Feb!B22&gt;קריטריונים!$B$3),Feb!F22,"")</f>
        <v/>
      </c>
      <c r="AR21" s="113" t="str">
        <f>IF(AND(ABS(Feb!G22)&gt;קריטריונים!$B$1,Feb!C22&gt;קריטריונים!$B$3),Feb!G22,"")</f>
        <v/>
      </c>
      <c r="AS21" s="113" t="str">
        <f>IF(AND(ABS(Feb!H22)&gt;קריטריונים!$B$1,Feb!D22&gt;קריטריונים!$B$3),Feb!H22,"")</f>
        <v/>
      </c>
      <c r="AT21" s="103" t="str">
        <f>IF(AND(ABS(Jan!E22)&gt;קריטריונים!$B$1,Jan!B22&gt;קריטריונים!$B$3),Jan!E22,"")</f>
        <v/>
      </c>
      <c r="AU21" s="118" t="s">
        <v>16</v>
      </c>
    </row>
    <row r="22" spans="1:47">
      <c r="A22" s="112" t="str">
        <f>IF(AND(ABS(Dec!K23)&gt;קריטריונים!$B$2,Dec!B23&gt;קריטריונים!$B$3),Dec!K23,"")</f>
        <v/>
      </c>
      <c r="B22" s="113" t="str">
        <f>IF(AND(ABS(Dec!J23)&gt;קריטריונים!$B$2,Dec!B23&gt;קריטריונים!$B$3),Dec!J23,"")</f>
        <v/>
      </c>
      <c r="C22" s="113" t="str">
        <f>IF(AND(ABS(Dec!F23)&gt;קריטריונים!$B$1,Dec!B23&gt;קריטריונים!$B$3),Dec!F23,"")</f>
        <v/>
      </c>
      <c r="D22" s="113" t="str">
        <f>IF(AND(ABS(Dec!E23)&gt;קריטריונים!$B$1,Dec!B23&gt;קריטריונים!$B$3),Dec!E23,"")</f>
        <v/>
      </c>
      <c r="E22" s="113">
        <f>IF(AND(ABS(Nov!K23)&gt;קריטריונים!$B$2,Nov!B23&gt;קריטריונים!$B$3),Nov!K23,"")</f>
        <v>0.52659089023479599</v>
      </c>
      <c r="F22" s="113">
        <f>IF(AND(ABS(Nov!J23)&gt;קריטריונים!$B$2,Nov!B23&gt;קריטריונים!$B$3),Nov!J23,"")</f>
        <v>0.1874798322039366</v>
      </c>
      <c r="G22" s="113">
        <f>IF(AND(ABS(Nov!F23)&gt;קריטריונים!$B$1,Nov!B23&gt;קריטריונים!$B$3),Nov!F23,"")</f>
        <v>1.7127659574468086</v>
      </c>
      <c r="H22" s="113">
        <f>IF(AND(ABS(Nov!E23)&gt;קריטריונים!$B$1,Nov!B23&gt;קריטריונים!$B$3),Nov!E23,"")</f>
        <v>0.42577578976796193</v>
      </c>
      <c r="I22" s="113">
        <f>IF(AND(ABS(Oct!K23)&gt;קריטריונים!$B$2,Oct!B23&gt;קריטריונים!$B$3),Oct!K23,"")</f>
        <v>0.42625753621884277</v>
      </c>
      <c r="J22" s="113">
        <f>IF(AND(ABS(Oct!J23)&gt;קריטריונים!$B$2,Oct!B23&gt;קריטריונים!$B$3),Oct!J23,"")</f>
        <v>0.15638565644037472</v>
      </c>
      <c r="K22" s="113">
        <f>IF(AND(ABS(Oct!F23)&gt;קריטריונים!$B$1,Oct!B23&gt;קריטריונים!$B$3),Oct!F23,"")</f>
        <v>0.82734719596723383</v>
      </c>
      <c r="L22" s="113">
        <f>IF(AND(ABS(Oct!E23)&gt;קריטריונים!$B$1,Oct!B23&gt;קריטריונים!$B$3),Oct!E23,"")</f>
        <v>0.33887349953831958</v>
      </c>
      <c r="M22" s="113">
        <f>IF(AND(ABS(Sep!K23)&gt;קריטריונים!$B$2,Sep!B23&gt;קריטריונים!$B$3),Sep!K23,"")</f>
        <v>0.39541644459518399</v>
      </c>
      <c r="N22" s="113">
        <f>IF(AND(ABS(Sep!J23)&gt;קריטריונים!$B$2,Sep!B23&gt;קריטריונים!$B$3),Sep!J23,"")</f>
        <v>0.1407295916346496</v>
      </c>
      <c r="O22" s="113">
        <f>IF(AND(ABS(Sep!F23)&gt;קריטריונים!$B$1,Sep!B23&gt;קריטריונים!$B$3),Sep!F23,"")</f>
        <v>0.39647844565877333</v>
      </c>
      <c r="P22" s="113">
        <f>IF(AND(ABS(Sep!E23)&gt;קריטריונים!$B$1,Sep!B23&gt;קריטריונים!$B$3),Sep!E23,"")</f>
        <v>-0.15627292736610421</v>
      </c>
      <c r="Q22" s="113">
        <f>IF(AND(ABS(Aug!K23)&gt;קריטריונים!$B$2,Aug!B23&gt;קריטריונים!$B$3),Aug!K23,"")</f>
        <v>0.39532434709351305</v>
      </c>
      <c r="R22" s="113">
        <f>IF(AND(ABS(Aug!J23)&gt;קריטריונים!$B$2,Aug!B23&gt;קריטריונים!$B$3),Aug!J23,"")</f>
        <v>0.17667954353714288</v>
      </c>
      <c r="S22" s="113">
        <f>IF(AND(ABS(Aug!F23)&gt;קריטריונים!$B$1,Aug!B23&gt;קריטריונים!$B$3),Aug!F23,"")</f>
        <v>0.38801261829653022</v>
      </c>
      <c r="T22" s="113">
        <f>IF(AND(ABS(Aug!E23)&gt;קריטריונים!$B$1,Aug!B23&gt;קריטריונים!$B$3),Aug!E23,"")</f>
        <v>0.13226968605249612</v>
      </c>
      <c r="U22" s="113">
        <f>IF(AND(ABS(Jul!K23)&gt;קריטריונים!$B$2,Jul!B23&gt;קריטריונים!$B$3),Jul!K23,"")</f>
        <v>0.27948609941027791</v>
      </c>
      <c r="V22" s="113">
        <f>IF(AND(ABS(Jul!J23)&gt;קריטריונים!$B$2,Jul!B23&gt;קריטריונים!$B$3),Jul!J23,"")</f>
        <v>0.18087277675187075</v>
      </c>
      <c r="W22" s="113">
        <f>IF(AND(ABS(Jul!F23)&gt;קריטריונים!$B$1,Jul!B23&gt;קריטריונים!$B$3),Jul!F23,"")</f>
        <v>0.28923766816143481</v>
      </c>
      <c r="X22" s="113">
        <f>IF(AND(ABS(Jul!E23)&gt;קריטריונים!$B$1,Jul!B23&gt;קריטריונים!$B$3),Jul!E23,"")</f>
        <v>0.123046875</v>
      </c>
      <c r="Y22" s="113">
        <f>IF(AND(ABS(Jun!K23)&gt;קריטריונים!$B$2,Jun!B23&gt;קריטריונים!$B$3),Jun!K23,"")</f>
        <v>0.36467961044600217</v>
      </c>
      <c r="Z22" s="113">
        <f>IF(AND(ABS(Jun!J23)&gt;קריטריונים!$B$2,Jun!B23&gt;קריטריונים!$B$3),Jun!J23,"")</f>
        <v>0.18726389638424168</v>
      </c>
      <c r="AA22" s="113">
        <f>IF(AND(ABS(Jun!F23)&gt;קריטריונים!$B$1,Jun!B23&gt;קריטריונים!$B$3),Jun!F23,"")</f>
        <v>0.12697220135236664</v>
      </c>
      <c r="AB22" s="113">
        <f>IF(AND(ABS(Jun!E23)&gt;קריטריונים!$B$1,Jun!B23&gt;קריטריונים!$B$3),Jun!E23,"")</f>
        <v>4.9317943336831149E-2</v>
      </c>
      <c r="AC22" s="113">
        <f>IF(AND(ABS(May!K23)&gt;קריטריונים!$B$2,May!B23&gt;קריטריונים!$B$3),May!K23,"")</f>
        <v>0.46593627034951002</v>
      </c>
      <c r="AD22" s="113">
        <f>IF(AND(ABS(May!J23)&gt;קריטריונים!$B$2,May!B23&gt;קריטריונים!$B$3),May!J23,"")</f>
        <v>0.21243060430093808</v>
      </c>
      <c r="AE22" s="113">
        <f>IF(AND(ABS(May!F23)&gt;קריטריונים!$B$1,May!B23&gt;קריטריונים!$B$3),May!F23,"")</f>
        <v>0.19893428063943186</v>
      </c>
      <c r="AF22" s="113">
        <f>IF(AND(ABS(May!E23)&gt;קריטריונים!$B$1,May!B23&gt;קריטריונים!$B$3),May!E23,"")</f>
        <v>-5.7920446615491894E-2</v>
      </c>
      <c r="AG22" s="113">
        <f>IF(AND(ABS(Apr!K23)&gt;קריטריונים!$B$2,Apr!B23&gt;קריטריונים!$B$3),Apr!K23,"")</f>
        <v>0.60813527255527955</v>
      </c>
      <c r="AH22" s="113">
        <f>IF(AND(ABS(Apr!J23)&gt;קריטריונים!$B$2,Apr!B23&gt;קריטריונים!$B$3),Apr!J23,"")</f>
        <v>0.36834691618875137</v>
      </c>
      <c r="AI22" s="113">
        <f>IF(AND(ABS(Apr!F23)&gt;קריטריונים!$B$1,Apr!B23&gt;קריטריונים!$B$3),Apr!F23,"")</f>
        <v>0.31663455362877313</v>
      </c>
      <c r="AJ22" s="113">
        <f>IF(AND(ABS(Apr!E23)&gt;קריטריונים!$B$1,Apr!B23&gt;קריטריונים!$B$3),Apr!E23,"")</f>
        <v>0.65255945183393793</v>
      </c>
      <c r="AK22" s="113">
        <f>IF(AND(ABS(Mar!K23)&gt;קריטריונים!$B$2,Mar!B23&gt;קריטריונים!$B$3),Mar!K23,"")</f>
        <v>0.77802732547258091</v>
      </c>
      <c r="AL22" s="113">
        <f>IF(AND(ABS(Mar!J23)&gt;קריטריונים!$B$2,Mar!B23&gt;קריטריונים!$B$3),Mar!J23,"")</f>
        <v>0.2737999463663181</v>
      </c>
      <c r="AM22" s="113">
        <f>IF(AND(ABS(Mar!F23)&gt;קריטריונים!$B$1,Mar!B23&gt;קריטריונים!$B$3),Mar!F23,"")</f>
        <v>0.82094081942336872</v>
      </c>
      <c r="AN22" s="113">
        <f>IF(AND(ABS(Mar!E23)&gt;קריטריונים!$B$1,Mar!B23&gt;קריטריונים!$B$3),Mar!E23,"")</f>
        <v>0.23414466918066523</v>
      </c>
      <c r="AO22" s="113">
        <f>IF(AND(ABS(Feb!K23)&gt;קריטריונים!$B$2,Feb!B23&gt;קריטריונים!$B$3),Feb!K23,"")</f>
        <v>0.75282234105763557</v>
      </c>
      <c r="AP22" s="113">
        <f>IF(AND(ABS(Feb!J23)&gt;קריטריונים!$B$2,Feb!B23&gt;קריטריונים!$B$3),Feb!J23,"")</f>
        <v>0.29927328782206564</v>
      </c>
      <c r="AQ22" s="113">
        <f>IF(AND(ABS(Feb!F23)&gt;קריטריונים!$B$1,Feb!B23&gt;קריטריונים!$B$3),Feb!F23,"")</f>
        <v>0.82965299684542582</v>
      </c>
      <c r="AR22" s="113">
        <f>IF(AND(ABS(Feb!G23)&gt;קריטריונים!$B$1,Feb!C23&gt;קריטריונים!$B$3),Feb!G23,"")</f>
        <v>5.9</v>
      </c>
      <c r="AS22" s="113">
        <f>IF(AND(ABS(Feb!H23)&gt;קריטריונים!$B$1,Feb!D23&gt;קריטריונים!$B$3),Feb!H23,"")</f>
        <v>4.5410000000000004</v>
      </c>
      <c r="AT22" s="103">
        <f>IF(AND(ABS(Jan!E23)&gt;קריטריונים!$B$1,Jan!B23&gt;קריטריונים!$B$3),Jan!E23,"")</f>
        <v>0.37551581843191184</v>
      </c>
      <c r="AU22" s="118" t="s">
        <v>17</v>
      </c>
    </row>
    <row r="23" spans="1:47">
      <c r="A23" s="112" t="str">
        <f>IF(AND(ABS(Dec!K24)&gt;קריטריונים!$B$2,Dec!B24&gt;קריטריונים!$B$3),Dec!K24,"")</f>
        <v/>
      </c>
      <c r="B23" s="113" t="str">
        <f>IF(AND(ABS(Dec!J24)&gt;קריטריונים!$B$2,Dec!B24&gt;קריטריונים!$B$3),Dec!J24,"")</f>
        <v/>
      </c>
      <c r="C23" s="113" t="str">
        <f>IF(AND(ABS(Dec!F24)&gt;קריטריונים!$B$1,Dec!B24&gt;קריטריונים!$B$3),Dec!F24,"")</f>
        <v/>
      </c>
      <c r="D23" s="113" t="str">
        <f>IF(AND(ABS(Dec!E24)&gt;קריטריונים!$B$1,Dec!B24&gt;קריטריונים!$B$3),Dec!E24,"")</f>
        <v/>
      </c>
      <c r="E23" s="113" t="str">
        <f>IF(AND(ABS(Nov!K24)&gt;קריטריונים!$B$2,Nov!B24&gt;קריטריונים!$B$3),Nov!K24,"")</f>
        <v/>
      </c>
      <c r="F23" s="113" t="str">
        <f>IF(AND(ABS(Nov!J24)&gt;קריטריונים!$B$2,Nov!B24&gt;קריטריונים!$B$3),Nov!J24,"")</f>
        <v/>
      </c>
      <c r="G23" s="113" t="str">
        <f>IF(AND(ABS(Nov!F24)&gt;קריטריונים!$B$1,Nov!B24&gt;קריטריונים!$B$3),Nov!F24,"")</f>
        <v/>
      </c>
      <c r="H23" s="113" t="str">
        <f>IF(AND(ABS(Nov!E24)&gt;קריטריונים!$B$1,Nov!B24&gt;קריטריונים!$B$3),Nov!E24,"")</f>
        <v/>
      </c>
      <c r="I23" s="113" t="str">
        <f>IF(AND(ABS(Oct!K24)&gt;קריטריונים!$B$2,Oct!B24&gt;קריטריונים!$B$3),Oct!K24,"")</f>
        <v/>
      </c>
      <c r="J23" s="113" t="str">
        <f>IF(AND(ABS(Oct!J24)&gt;קריטריונים!$B$2,Oct!B24&gt;קריטריונים!$B$3),Oct!J24,"")</f>
        <v/>
      </c>
      <c r="K23" s="113" t="str">
        <f>IF(AND(ABS(Oct!F24)&gt;קריטריונים!$B$1,Oct!B24&gt;קריטריונים!$B$3),Oct!F24,"")</f>
        <v/>
      </c>
      <c r="L23" s="113" t="str">
        <f>IF(AND(ABS(Oct!E24)&gt;קריטריונים!$B$1,Oct!B24&gt;קריטריונים!$B$3),Oct!E24,"")</f>
        <v/>
      </c>
      <c r="M23" s="113" t="str">
        <f>IF(AND(ABS(Sep!K24)&gt;קריטריונים!$B$2,Sep!B24&gt;קריטריונים!$B$3),Sep!K24,"")</f>
        <v/>
      </c>
      <c r="N23" s="113" t="str">
        <f>IF(AND(ABS(Sep!J24)&gt;קריטריונים!$B$2,Sep!B24&gt;קריטריונים!$B$3),Sep!J24,"")</f>
        <v/>
      </c>
      <c r="O23" s="113" t="str">
        <f>IF(AND(ABS(Sep!F24)&gt;קריטריונים!$B$1,Sep!B24&gt;קריטריונים!$B$3),Sep!F24,"")</f>
        <v/>
      </c>
      <c r="P23" s="113" t="str">
        <f>IF(AND(ABS(Sep!E24)&gt;קריטריונים!$B$1,Sep!B24&gt;קריטריונים!$B$3),Sep!E24,"")</f>
        <v/>
      </c>
      <c r="Q23" s="113" t="str">
        <f>IF(AND(ABS(Aug!K24)&gt;קריטריונים!$B$2,Aug!B24&gt;קריטריונים!$B$3),Aug!K24,"")</f>
        <v/>
      </c>
      <c r="R23" s="113" t="str">
        <f>IF(AND(ABS(Aug!J24)&gt;קריטריונים!$B$2,Aug!B24&gt;קריטריונים!$B$3),Aug!J24,"")</f>
        <v/>
      </c>
      <c r="S23" s="113" t="str">
        <f>IF(AND(ABS(Aug!F24)&gt;קריטריונים!$B$1,Aug!B24&gt;קריטריונים!$B$3),Aug!F24,"")</f>
        <v/>
      </c>
      <c r="T23" s="113" t="str">
        <f>IF(AND(ABS(Aug!E24)&gt;קריטריונים!$B$1,Aug!B24&gt;קריטריונים!$B$3),Aug!E24,"")</f>
        <v/>
      </c>
      <c r="U23" s="113">
        <f>IF(AND(ABS(Jul!K24)&gt;קריטריונים!$B$2,Jul!B24&gt;קריטריונים!$B$3),Jul!K24,"")</f>
        <v>-0.34603533924416774</v>
      </c>
      <c r="V23" s="113">
        <f>IF(AND(ABS(Jul!J24)&gt;קריטריונים!$B$2,Jul!B24&gt;קריטריונים!$B$3),Jul!J24,"")</f>
        <v>-5.8226931087566713E-2</v>
      </c>
      <c r="W23" s="113">
        <f>IF(AND(ABS(Jul!F24)&gt;קריטריונים!$B$1,Jul!B24&gt;קריטריונים!$B$3),Jul!F24,"")</f>
        <v>-0.2896174863387978</v>
      </c>
      <c r="X23" s="113">
        <f>IF(AND(ABS(Jul!E24)&gt;קריטריונים!$B$1,Jul!B24&gt;קריטריונים!$B$3),Jul!E24,"")</f>
        <v>-0.23439340400471143</v>
      </c>
      <c r="Y23" s="113">
        <f>IF(AND(ABS(Jun!K24)&gt;קריטריונים!$B$2,Jun!B24&gt;קריטריונים!$B$3),Jun!K24,"")</f>
        <v>-0.18273260687342829</v>
      </c>
      <c r="Z23" s="113">
        <f>IF(AND(ABS(Jun!J24)&gt;קריטריונים!$B$2,Jun!B24&gt;קריטריונים!$B$3),Jun!J24,"")</f>
        <v>2.000784621420193E-2</v>
      </c>
      <c r="AA23" s="113">
        <f>IF(AND(ABS(Jun!F24)&gt;קריטריונים!$B$1,Jun!B24&gt;קריטריונים!$B$3),Jun!F24,"")</f>
        <v>3.7037037037037202E-2</v>
      </c>
      <c r="AB23" s="113">
        <f>IF(AND(ABS(Jun!E24)&gt;קריטריונים!$B$1,Jun!B24&gt;קריטריונים!$B$3),Jun!E24,"")</f>
        <v>0.29469790382244132</v>
      </c>
      <c r="AC23" s="113" t="str">
        <f>IF(AND(ABS(May!K24)&gt;קריטריונים!$B$2,May!B24&gt;קריטריונים!$B$3),May!K24,"")</f>
        <v/>
      </c>
      <c r="AD23" s="113" t="str">
        <f>IF(AND(ABS(May!J24)&gt;קריטריונים!$B$2,May!B24&gt;קריטריונים!$B$3),May!J24,"")</f>
        <v/>
      </c>
      <c r="AE23" s="113" t="str">
        <f>IF(AND(ABS(May!F24)&gt;קריטריונים!$B$1,May!B24&gt;קריטריונים!$B$3),May!F24,"")</f>
        <v/>
      </c>
      <c r="AF23" s="113" t="str">
        <f>IF(AND(ABS(May!E24)&gt;קריטריונים!$B$1,May!B24&gt;קריטריונים!$B$3),May!E24,"")</f>
        <v/>
      </c>
      <c r="AG23" s="113" t="str">
        <f>IF(AND(ABS(Apr!K24)&gt;קריטריונים!$B$2,Apr!B24&gt;קריטריונים!$B$3),Apr!K24,"")</f>
        <v/>
      </c>
      <c r="AH23" s="113" t="str">
        <f>IF(AND(ABS(Apr!J24)&gt;קריטריונים!$B$2,Apr!B24&gt;קריטריונים!$B$3),Apr!J24,"")</f>
        <v/>
      </c>
      <c r="AI23" s="113" t="str">
        <f>IF(AND(ABS(Apr!F24)&gt;קריטריונים!$B$1,Apr!B24&gt;קריטריונים!$B$3),Apr!F24,"")</f>
        <v/>
      </c>
      <c r="AJ23" s="113" t="str">
        <f>IF(AND(ABS(Apr!E24)&gt;קריטריונים!$B$1,Apr!B24&gt;קריטריונים!$B$3),Apr!E24,"")</f>
        <v/>
      </c>
      <c r="AK23" s="113" t="str">
        <f>IF(AND(ABS(Mar!K24)&gt;קריטריונים!$B$2,Mar!B24&gt;קריטריונים!$B$3),Mar!K24,"")</f>
        <v/>
      </c>
      <c r="AL23" s="113" t="str">
        <f>IF(AND(ABS(Mar!J24)&gt;קריטריונים!$B$2,Mar!B24&gt;קריטריונים!$B$3),Mar!J24,"")</f>
        <v/>
      </c>
      <c r="AM23" s="113" t="str">
        <f>IF(AND(ABS(Mar!F24)&gt;קריטריונים!$B$1,Mar!B24&gt;קריטריונים!$B$3),Mar!F24,"")</f>
        <v/>
      </c>
      <c r="AN23" s="113" t="str">
        <f>IF(AND(ABS(Mar!E24)&gt;קריטריונים!$B$1,Mar!B24&gt;קריטריונים!$B$3),Mar!E24,"")</f>
        <v/>
      </c>
      <c r="AO23" s="113" t="str">
        <f>IF(AND(ABS(Feb!K24)&gt;קריטריונים!$B$2,Feb!B24&gt;קריטריונים!$B$3),Feb!K24,"")</f>
        <v/>
      </c>
      <c r="AP23" s="113" t="str">
        <f>IF(AND(ABS(Feb!J24)&gt;קריטריונים!$B$2,Feb!B24&gt;קריטריונים!$B$3),Feb!J24,"")</f>
        <v/>
      </c>
      <c r="AQ23" s="113" t="str">
        <f>IF(AND(ABS(Feb!F24)&gt;קריטריונים!$B$1,Feb!B24&gt;קריטריונים!$B$3),Feb!F24,"")</f>
        <v/>
      </c>
      <c r="AR23" s="113" t="str">
        <f>IF(AND(ABS(Feb!G24)&gt;קריטריונים!$B$1,Feb!C24&gt;קריטריונים!$B$3),Feb!G24,"")</f>
        <v/>
      </c>
      <c r="AS23" s="113" t="str">
        <f>IF(AND(ABS(Feb!H24)&gt;קריטריונים!$B$1,Feb!D24&gt;קריטריונים!$B$3),Feb!H24,"")</f>
        <v/>
      </c>
      <c r="AT23" s="103" t="str">
        <f>IF(AND(ABS(Jan!E24)&gt;קריטריונים!$B$1,Jan!B24&gt;קריטריונים!$B$3),Jan!E24,"")</f>
        <v/>
      </c>
      <c r="AU23" s="118" t="s">
        <v>18</v>
      </c>
    </row>
    <row r="24" spans="1:47">
      <c r="A24" s="112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 t="str">
        <f>IF(AND(ABS(Feb!G25)&gt;קריטריונים!$B$1,Feb!C25&gt;קריטריונים!$B$3),Feb!G25,"")</f>
        <v/>
      </c>
      <c r="AS24" s="113" t="str">
        <f>IF(AND(ABS(Feb!H25)&gt;קריטריונים!$B$1,Feb!D25&gt;קריטריונים!$B$3),Feb!H25,"")</f>
        <v/>
      </c>
      <c r="AT24" s="103" t="str">
        <f>IF(AND(ABS(Jan!E25)&gt;קריטריונים!$B$1,Jan!B25&gt;קריטריונים!$B$3),Jan!E25,"")</f>
        <v/>
      </c>
      <c r="AU24" s="118" t="s">
        <v>19</v>
      </c>
    </row>
    <row r="25" spans="1:47">
      <c r="A25" s="112" t="str">
        <f>IF(AND(ABS(Dec!K26)&gt;קריטריונים!$B$2,Dec!B26&gt;קריטריונים!$B$3),Dec!K26,"")</f>
        <v/>
      </c>
      <c r="B25" s="113" t="str">
        <f>IF(AND(ABS(Dec!J26)&gt;קריטריונים!$B$2,Dec!B26&gt;קריטריונים!$B$3),Dec!J26,"")</f>
        <v/>
      </c>
      <c r="C25" s="113" t="str">
        <f>IF(AND(ABS(Dec!F26)&gt;קריטריונים!$B$1,Dec!B26&gt;קריטריונים!$B$3),Dec!F26,"")</f>
        <v/>
      </c>
      <c r="D25" s="113" t="str">
        <f>IF(AND(ABS(Dec!E26)&gt;קריטריונים!$B$1,Dec!B26&gt;קריטריונים!$B$3),Dec!E26,"")</f>
        <v/>
      </c>
      <c r="E25" s="113" t="str">
        <f>IF(AND(ABS(Nov!K26)&gt;קריטריונים!$B$2,Nov!B26&gt;קריטריונים!$B$3),Nov!K26,"")</f>
        <v/>
      </c>
      <c r="F25" s="113" t="str">
        <f>IF(AND(ABS(Nov!J26)&gt;קריטריונים!$B$2,Nov!B26&gt;קריטריונים!$B$3),Nov!J26,"")</f>
        <v/>
      </c>
      <c r="G25" s="113" t="str">
        <f>IF(AND(ABS(Nov!F26)&gt;קריטריונים!$B$1,Nov!B26&gt;קריטריונים!$B$3),Nov!F26,"")</f>
        <v/>
      </c>
      <c r="H25" s="113" t="str">
        <f>IF(AND(ABS(Nov!E26)&gt;קריטריונים!$B$1,Nov!B26&gt;קריטריונים!$B$3),Nov!E26,"")</f>
        <v/>
      </c>
      <c r="I25" s="113" t="str">
        <f>IF(AND(ABS(Oct!K26)&gt;קריטריונים!$B$2,Oct!B26&gt;קריטריונים!$B$3),Oct!K26,"")</f>
        <v/>
      </c>
      <c r="J25" s="113" t="str">
        <f>IF(AND(ABS(Oct!J26)&gt;קריטריונים!$B$2,Oct!B26&gt;קריטריונים!$B$3),Oct!J26,"")</f>
        <v/>
      </c>
      <c r="K25" s="113" t="str">
        <f>IF(AND(ABS(Oct!F26)&gt;קריטריונים!$B$1,Oct!B26&gt;קריטריונים!$B$3),Oct!F26,"")</f>
        <v/>
      </c>
      <c r="L25" s="113" t="str">
        <f>IF(AND(ABS(Oct!E26)&gt;קריטריונים!$B$1,Oct!B26&gt;קריטריונים!$B$3),Oct!E26,"")</f>
        <v/>
      </c>
      <c r="M25" s="113" t="str">
        <f>IF(AND(ABS(Sep!K26)&gt;קריטריונים!$B$2,Sep!B26&gt;קריטריונים!$B$3),Sep!K26,"")</f>
        <v/>
      </c>
      <c r="N25" s="113" t="str">
        <f>IF(AND(ABS(Sep!J26)&gt;קריטריונים!$B$2,Sep!B26&gt;קריטריונים!$B$3),Sep!J26,"")</f>
        <v/>
      </c>
      <c r="O25" s="113" t="str">
        <f>IF(AND(ABS(Sep!F26)&gt;קריטריונים!$B$1,Sep!B26&gt;קריטריונים!$B$3),Sep!F26,"")</f>
        <v/>
      </c>
      <c r="P25" s="113" t="str">
        <f>IF(AND(ABS(Sep!E26)&gt;קריטריונים!$B$1,Sep!B26&gt;קריטריונים!$B$3),Sep!E26,"")</f>
        <v/>
      </c>
      <c r="Q25" s="113" t="str">
        <f>IF(AND(ABS(Aug!K26)&gt;קריטריונים!$B$2,Aug!B26&gt;קריטריונים!$B$3),Aug!K26,"")</f>
        <v/>
      </c>
      <c r="R25" s="113" t="str">
        <f>IF(AND(ABS(Aug!J26)&gt;קריטריונים!$B$2,Aug!B26&gt;קריטריונים!$B$3),Aug!J26,"")</f>
        <v/>
      </c>
      <c r="S25" s="113" t="str">
        <f>IF(AND(ABS(Aug!F26)&gt;קריטריונים!$B$1,Aug!B26&gt;קריטריונים!$B$3),Aug!F26,"")</f>
        <v/>
      </c>
      <c r="T25" s="113" t="str">
        <f>IF(AND(ABS(Aug!E26)&gt;קריטריונים!$B$1,Aug!B26&gt;קריטריונים!$B$3),Aug!E26,"")</f>
        <v/>
      </c>
      <c r="U25" s="113" t="str">
        <f>IF(AND(ABS(Jul!K26)&gt;קריטריונים!$B$2,Jul!B26&gt;קריטריונים!$B$3),Jul!K26,"")</f>
        <v/>
      </c>
      <c r="V25" s="113" t="str">
        <f>IF(AND(ABS(Jul!J26)&gt;קריטריונים!$B$2,Jul!B26&gt;קריטריונים!$B$3),Jul!J26,"")</f>
        <v/>
      </c>
      <c r="W25" s="113" t="str">
        <f>IF(AND(ABS(Jul!F26)&gt;קריטריונים!$B$1,Jul!B26&gt;קריטריונים!$B$3),Jul!F26,"")</f>
        <v/>
      </c>
      <c r="X25" s="113" t="str">
        <f>IF(AND(ABS(Jul!E26)&gt;קריטריונים!$B$1,Jul!B26&gt;קריטריונים!$B$3),Jul!E26,"")</f>
        <v/>
      </c>
      <c r="Y25" s="113" t="str">
        <f>IF(AND(ABS(Jun!K26)&gt;קריטריונים!$B$2,Jun!B26&gt;קריטריונים!$B$3),Jun!K26,"")</f>
        <v/>
      </c>
      <c r="Z25" s="113" t="str">
        <f>IF(AND(ABS(Jun!J26)&gt;קריטריונים!$B$2,Jun!B26&gt;קריטריונים!$B$3),Jun!J26,"")</f>
        <v/>
      </c>
      <c r="AA25" s="113" t="str">
        <f>IF(AND(ABS(Jun!F26)&gt;קריטריונים!$B$1,Jun!B26&gt;קריטריונים!$B$3),Jun!F26,"")</f>
        <v/>
      </c>
      <c r="AB25" s="113" t="str">
        <f>IF(AND(ABS(Jun!E26)&gt;קריטריונים!$B$1,Jun!B26&gt;קריטריונים!$B$3),Jun!E26,"")</f>
        <v/>
      </c>
      <c r="AC25" s="113" t="str">
        <f>IF(AND(ABS(May!K26)&gt;קריטריונים!$B$2,May!B26&gt;קריטריונים!$B$3),May!K26,"")</f>
        <v/>
      </c>
      <c r="AD25" s="113" t="str">
        <f>IF(AND(ABS(May!J26)&gt;קריטריונים!$B$2,May!B26&gt;קריטריונים!$B$3),May!J26,"")</f>
        <v/>
      </c>
      <c r="AE25" s="113" t="str">
        <f>IF(AND(ABS(May!F26)&gt;קריטריונים!$B$1,May!B26&gt;קריטריונים!$B$3),May!F26,"")</f>
        <v/>
      </c>
      <c r="AF25" s="113" t="str">
        <f>IF(AND(ABS(May!E26)&gt;קריטריונים!$B$1,May!B26&gt;קריטריונים!$B$3),May!E26,"")</f>
        <v/>
      </c>
      <c r="AG25" s="113" t="str">
        <f>IF(AND(ABS(Apr!K26)&gt;קריטריונים!$B$2,Apr!B26&gt;קריטריונים!$B$3),Apr!K26,"")</f>
        <v/>
      </c>
      <c r="AH25" s="113" t="str">
        <f>IF(AND(ABS(Apr!J26)&gt;קריטריונים!$B$2,Apr!B26&gt;קריטריונים!$B$3),Apr!J26,"")</f>
        <v/>
      </c>
      <c r="AI25" s="113" t="str">
        <f>IF(AND(ABS(Apr!F26)&gt;קריטריונים!$B$1,Apr!B26&gt;קריטריונים!$B$3),Apr!F26,"")</f>
        <v/>
      </c>
      <c r="AJ25" s="113" t="str">
        <f>IF(AND(ABS(Apr!E26)&gt;קריטריונים!$B$1,Apr!B26&gt;קריטריונים!$B$3),Apr!E26,"")</f>
        <v/>
      </c>
      <c r="AK25" s="113" t="str">
        <f>IF(AND(ABS(Mar!K26)&gt;קריטריונים!$B$2,Mar!B26&gt;קריטריונים!$B$3),Mar!K26,"")</f>
        <v/>
      </c>
      <c r="AL25" s="113" t="str">
        <f>IF(AND(ABS(Mar!J26)&gt;קריטריונים!$B$2,Mar!B26&gt;קריטריונים!$B$3),Mar!J26,"")</f>
        <v/>
      </c>
      <c r="AM25" s="113" t="str">
        <f>IF(AND(ABS(Mar!F26)&gt;קריטריונים!$B$1,Mar!B26&gt;קריטריונים!$B$3),Mar!F26,"")</f>
        <v/>
      </c>
      <c r="AN25" s="113" t="str">
        <f>IF(AND(ABS(Mar!E26)&gt;קריטריונים!$B$1,Mar!B26&gt;קריטריונים!$B$3),Mar!E26,"")</f>
        <v/>
      </c>
      <c r="AO25" s="113" t="str">
        <f>IF(AND(ABS(Feb!K26)&gt;קריטריונים!$B$2,Feb!B26&gt;קריטריונים!$B$3),Feb!K26,"")</f>
        <v/>
      </c>
      <c r="AP25" s="113" t="str">
        <f>IF(AND(ABS(Feb!J26)&gt;קריטריונים!$B$2,Feb!B26&gt;קריטריונים!$B$3),Feb!J26,"")</f>
        <v/>
      </c>
      <c r="AQ25" s="113" t="str">
        <f>IF(AND(ABS(Feb!F26)&gt;קריטריונים!$B$1,Feb!B26&gt;קריטריונים!$B$3),Feb!F26,"")</f>
        <v/>
      </c>
      <c r="AR25" s="113" t="str">
        <f>IF(AND(ABS(Feb!G26)&gt;קריטריונים!$B$1,Feb!C26&gt;קריטריונים!$B$3),Feb!G26,"")</f>
        <v/>
      </c>
      <c r="AS25" s="113" t="str">
        <f>IF(AND(ABS(Feb!H26)&gt;קריטריונים!$B$1,Feb!D26&gt;קריטריונים!$B$3),Feb!H26,"")</f>
        <v/>
      </c>
      <c r="AT25" s="103" t="str">
        <f>IF(AND(ABS(Jan!E26)&gt;קריטריונים!$B$1,Jan!B26&gt;קריטריונים!$B$3),Jan!E26,"")</f>
        <v/>
      </c>
      <c r="AU25" s="118"/>
    </row>
    <row r="26" spans="1:47">
      <c r="A26" s="112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>
        <f>IF(AND(ABS(Feb!G27)&gt;קריטריונים!$B$1,Feb!C27&gt;קריטריונים!$B$3),Feb!G27,"")</f>
        <v>5.6</v>
      </c>
      <c r="AS26" s="113">
        <f>IF(AND(ABS(Feb!H27)&gt;קריטריונים!$B$1,Feb!D27&gt;קריטריונים!$B$3),Feb!H27,"")</f>
        <v>5.1080000000000005</v>
      </c>
      <c r="AT26" s="103">
        <f>IF(AND(ABS(Jan!E27)&gt;קריטריונים!$B$1,Jan!B27&gt;קריטריונים!$B$3),Jan!E27,"")</f>
        <v>0.12098956320061838</v>
      </c>
      <c r="AU26" s="118" t="s">
        <v>20</v>
      </c>
    </row>
    <row r="27" spans="1:47">
      <c r="A27" s="112" t="str">
        <f>IF(AND(ABS(Dec!K28)&gt;קריטריונים!$B$2,Dec!B28&gt;קריטריונים!$B$3),Dec!K28,"")</f>
        <v/>
      </c>
      <c r="B27" s="113" t="str">
        <f>IF(AND(ABS(Dec!J28)&gt;קריטריונים!$B$2,Dec!B28&gt;קריטריונים!$B$3),Dec!J28,"")</f>
        <v/>
      </c>
      <c r="C27" s="113" t="str">
        <f>IF(AND(ABS(Dec!F28)&gt;קריטריונים!$B$1,Dec!B28&gt;קריטריונים!$B$3),Dec!F28,"")</f>
        <v/>
      </c>
      <c r="D27" s="113" t="str">
        <f>IF(AND(ABS(Dec!E28)&gt;קריטריונים!$B$1,Dec!B28&gt;קריטריונים!$B$3),Dec!E28,"")</f>
        <v/>
      </c>
      <c r="E27" s="113" t="str">
        <f>IF(AND(ABS(Nov!K28)&gt;קריטריונים!$B$2,Nov!B28&gt;קריטריונים!$B$3),Nov!K28,"")</f>
        <v/>
      </c>
      <c r="F27" s="113" t="str">
        <f>IF(AND(ABS(Nov!J28)&gt;קריטריונים!$B$2,Nov!B28&gt;קריטריונים!$B$3),Nov!J28,"")</f>
        <v/>
      </c>
      <c r="G27" s="113" t="str">
        <f>IF(AND(ABS(Nov!F28)&gt;קריטריונים!$B$1,Nov!B28&gt;קריטריונים!$B$3),Nov!F28,"")</f>
        <v/>
      </c>
      <c r="H27" s="113" t="str">
        <f>IF(AND(ABS(Nov!E28)&gt;קריטריונים!$B$1,Nov!B28&gt;קריטריונים!$B$3),Nov!E28,"")</f>
        <v/>
      </c>
      <c r="I27" s="113">
        <f>IF(AND(ABS(Oct!K28)&gt;קריטריונים!$B$2,Oct!B28&gt;קריטריונים!$B$3),Oct!K28,"")</f>
        <v>0.28716461203770871</v>
      </c>
      <c r="J27" s="113">
        <f>IF(AND(ABS(Oct!J28)&gt;קריטריונים!$B$2,Oct!B28&gt;קריטריונים!$B$3),Oct!J28,"")</f>
        <v>0.31359851988899146</v>
      </c>
      <c r="K27" s="113">
        <f>IF(AND(ABS(Oct!F28)&gt;קריטריונים!$B$1,Oct!B28&gt;קריטריונים!$B$3),Oct!F28,"")</f>
        <v>0.6084303937881308</v>
      </c>
      <c r="L27" s="113">
        <f>IF(AND(ABS(Oct!E28)&gt;קריטריונים!$B$1,Oct!B28&gt;קריטריונים!$B$3),Oct!E28,"")</f>
        <v>0.74278846153846168</v>
      </c>
      <c r="M27" s="113">
        <f>IF(AND(ABS(Sep!K28)&gt;קריטריונים!$B$2,Sep!B28&gt;קריטריונים!$B$3),Sep!K28,"")</f>
        <v>0.24788063750423883</v>
      </c>
      <c r="N27" s="113">
        <f>IF(AND(ABS(Sep!J28)&gt;קריטריונים!$B$2,Sep!B28&gt;קריטריונים!$B$3),Sep!J28,"")</f>
        <v>0.26451790254965291</v>
      </c>
      <c r="O27" s="113">
        <f>IF(AND(ABS(Sep!F28)&gt;קריטריונים!$B$1,Sep!B28&gt;קריטריונים!$B$3),Sep!F28,"")</f>
        <v>0.24610591900311518</v>
      </c>
      <c r="P27" s="113">
        <f>IF(AND(ABS(Sep!E28)&gt;קריטריונים!$B$1,Sep!B28&gt;קריטריונים!$B$3),Sep!E28,"")</f>
        <v>8.7801087801087752E-2</v>
      </c>
      <c r="Q27" s="113" t="str">
        <f>IF(AND(ABS(Aug!K28)&gt;קריטריונים!$B$2,Aug!B28&gt;קריטריונים!$B$3),Aug!K28,"")</f>
        <v/>
      </c>
      <c r="R27" s="113" t="str">
        <f>IF(AND(ABS(Aug!J28)&gt;קריטריונים!$B$2,Aug!B28&gt;קריטריונים!$B$3),Aug!J28,"")</f>
        <v/>
      </c>
      <c r="S27" s="113" t="str">
        <f>IF(AND(ABS(Aug!F28)&gt;קריטריונים!$B$1,Aug!B28&gt;קריטריונים!$B$3),Aug!F28,"")</f>
        <v/>
      </c>
      <c r="T27" s="113" t="str">
        <f>IF(AND(ABS(Aug!E28)&gt;קריטריונים!$B$1,Aug!B28&gt;קריטריונים!$B$3),Aug!E28,"")</f>
        <v/>
      </c>
      <c r="U27" s="113">
        <f>IF(AND(ABS(Jul!K28)&gt;קריטריונים!$B$2,Jul!B28&gt;קריטריונים!$B$3),Jul!K28,"")</f>
        <v>0.1441830692910866</v>
      </c>
      <c r="V27" s="113">
        <f>IF(AND(ABS(Jul!J28)&gt;קריטריונים!$B$2,Jul!B28&gt;קריטריונים!$B$3),Jul!J28,"")</f>
        <v>0.28504672897196248</v>
      </c>
      <c r="W27" s="113">
        <f>IF(AND(ABS(Jul!F28)&gt;קריטריונים!$B$1,Jul!B28&gt;קריטריונים!$B$3),Jul!F28,"")</f>
        <v>0.29558541266794625</v>
      </c>
      <c r="X27" s="113">
        <f>IF(AND(ABS(Jul!E28)&gt;קריטריונים!$B$1,Jul!B28&gt;קריטריונים!$B$3),Jul!E28,"")</f>
        <v>0.55261644623346751</v>
      </c>
      <c r="Y27" s="113">
        <f>IF(AND(ABS(Jun!K28)&gt;קריטריונים!$B$2,Jun!B28&gt;קריטריונים!$B$3),Jun!K28,"")</f>
        <v>0.26389191544998924</v>
      </c>
      <c r="Z27" s="113">
        <f>IF(AND(ABS(Jun!J28)&gt;קריטריונים!$B$2,Jun!B28&gt;קריטריונים!$B$3),Jun!J28,"")</f>
        <v>0.23548833741612518</v>
      </c>
      <c r="AA27" s="113">
        <f>IF(AND(ABS(Jun!F28)&gt;קריטריונים!$B$1,Jun!B28&gt;קריטריונים!$B$3),Jun!F28,"")</f>
        <v>0.28146453089244838</v>
      </c>
      <c r="AB27" s="113">
        <f>IF(AND(ABS(Jun!E28)&gt;קריטריונים!$B$1,Jun!B28&gt;קריטריונים!$B$3),Jun!E28,"")</f>
        <v>9.9332548095798945E-2</v>
      </c>
      <c r="AC27" s="113">
        <f>IF(AND(ABS(May!K28)&gt;קריטריונים!$B$2,May!B28&gt;קריטריונים!$B$3),May!K28,"")</f>
        <v>0.27702800754607471</v>
      </c>
      <c r="AD27" s="113">
        <f>IF(AND(ABS(May!J28)&gt;קריטריונים!$B$2,May!B28&gt;קריטריונים!$B$3),May!J28,"")</f>
        <v>0.2861736334405145</v>
      </c>
      <c r="AE27" s="113">
        <f>IF(AND(ABS(May!F28)&gt;קריטריונים!$B$1,May!B28&gt;קריטריונים!$B$3),May!F28,"")</f>
        <v>0.56657963446475179</v>
      </c>
      <c r="AF27" s="113">
        <f>IF(AND(ABS(May!E28)&gt;קריטריונים!$B$1,May!B28&gt;קריטריונים!$B$3),May!E28,"")</f>
        <v>0.2611665790856541</v>
      </c>
      <c r="AG27" s="113">
        <f>IF(AND(ABS(Apr!K28)&gt;קריטריונים!$B$2,Apr!B28&gt;קריטריונים!$B$3),Apr!K28,"")</f>
        <v>0.19425265907818634</v>
      </c>
      <c r="AH27" s="113">
        <f>IF(AND(ABS(Apr!J28)&gt;קריטריונים!$B$2,Apr!B28&gt;קריטריונים!$B$3),Apr!J28,"")</f>
        <v>0.29580886819194174</v>
      </c>
      <c r="AI27" s="113">
        <f>IF(AND(ABS(Apr!F28)&gt;קריטריונים!$B$1,Apr!B28&gt;קריטריונים!$B$3),Apr!F28,"")</f>
        <v>0.28008192524321562</v>
      </c>
      <c r="AJ27" s="113">
        <f>IF(AND(ABS(Apr!E28)&gt;קריטריונים!$B$1,Apr!B28&gt;קריטריונים!$B$3),Apr!E28,"")</f>
        <v>0.78316690442225401</v>
      </c>
      <c r="AK27" s="113">
        <f>IF(AND(ABS(Mar!K28)&gt;קריטריונים!$B$2,Mar!B28&gt;קריטריונים!$B$3),Mar!K28,"")</f>
        <v>0.14503816793893143</v>
      </c>
      <c r="AL27" s="113">
        <f>IF(AND(ABS(Mar!J28)&gt;קריטריונים!$B$2,Mar!B28&gt;קריטריונים!$B$3),Mar!J28,"")</f>
        <v>0.10262934690415615</v>
      </c>
      <c r="AM27" s="113">
        <f>IF(AND(ABS(Mar!F28)&gt;קריטריונים!$B$1,Mar!B28&gt;קריטריונים!$B$3),Mar!F28,"")</f>
        <v>0.14182692307692313</v>
      </c>
      <c r="AN27" s="113">
        <f>IF(AND(ABS(Mar!E28)&gt;קריטריונים!$B$1,Mar!B28&gt;קריטריונים!$B$3),Mar!E28,"")</f>
        <v>0.1750154607297465</v>
      </c>
      <c r="AO27" s="113" t="str">
        <f>IF(AND(ABS(Feb!K28)&gt;קריטריונים!$B$2,Feb!B28&gt;קריטריונים!$B$3),Feb!K28,"")</f>
        <v/>
      </c>
      <c r="AP27" s="113" t="str">
        <f>IF(AND(ABS(Feb!J28)&gt;קריטריונים!$B$2,Feb!B28&gt;קריטריונים!$B$3),Feb!J28,"")</f>
        <v/>
      </c>
      <c r="AQ27" s="113" t="str">
        <f>IF(AND(ABS(Feb!F28)&gt;קריטריונים!$B$1,Feb!B28&gt;קריטריונים!$B$3),Feb!F28,"")</f>
        <v/>
      </c>
      <c r="AR27" s="113" t="str">
        <f>IF(AND(ABS(Feb!G28)&gt;קריטריונים!$B$1,Feb!C28&gt;קריטריונים!$B$3),Feb!G28,"")</f>
        <v/>
      </c>
      <c r="AS27" s="113" t="str">
        <f>IF(AND(ABS(Feb!H28)&gt;קריטריונים!$B$1,Feb!D28&gt;קריטריונים!$B$3),Feb!H28,"")</f>
        <v/>
      </c>
      <c r="AT27" s="103" t="str">
        <f>IF(AND(ABS(Jan!E28)&gt;קריטריונים!$B$1,Jan!B28&gt;קריטריונים!$B$3),Jan!E28,"")</f>
        <v/>
      </c>
      <c r="AU27" s="118" t="s">
        <v>21</v>
      </c>
    </row>
    <row r="28" spans="1:47">
      <c r="A28" s="112" t="str">
        <f>IF(AND(ABS(Dec!K29)&gt;קריטריונים!$B$2,Dec!B29&gt;קריטריונים!$B$3),Dec!K29,"")</f>
        <v/>
      </c>
      <c r="B28" s="113" t="str">
        <f>IF(AND(ABS(Dec!J29)&gt;קריטריונים!$B$2,Dec!B29&gt;קריטריונים!$B$3),Dec!J29,"")</f>
        <v/>
      </c>
      <c r="C28" s="113" t="str">
        <f>IF(AND(ABS(Dec!F29)&gt;קריטריונים!$B$1,Dec!B29&gt;קריטריונים!$B$3),Dec!F29,"")</f>
        <v/>
      </c>
      <c r="D28" s="113" t="str">
        <f>IF(AND(ABS(Dec!E29)&gt;קריטריונים!$B$1,Dec!B29&gt;קריטריונים!$B$3),Dec!E29,"")</f>
        <v/>
      </c>
      <c r="E28" s="113" t="str">
        <f>IF(AND(ABS(Nov!K29)&gt;קריטריונים!$B$2,Nov!B29&gt;קריטריונים!$B$3),Nov!K29,"")</f>
        <v/>
      </c>
      <c r="F28" s="113" t="str">
        <f>IF(AND(ABS(Nov!J29)&gt;קריטריונים!$B$2,Nov!B29&gt;קריטריונים!$B$3),Nov!J29,"")</f>
        <v/>
      </c>
      <c r="G28" s="113" t="str">
        <f>IF(AND(ABS(Nov!F29)&gt;קריטריונים!$B$1,Nov!B29&gt;קריטריונים!$B$3),Nov!F29,"")</f>
        <v/>
      </c>
      <c r="H28" s="113" t="str">
        <f>IF(AND(ABS(Nov!E29)&gt;קריטריונים!$B$1,Nov!B29&gt;קריטריונים!$B$3),Nov!E29,"")</f>
        <v/>
      </c>
      <c r="I28" s="113" t="str">
        <f>IF(AND(ABS(Oct!K29)&gt;קריטריונים!$B$2,Oct!B29&gt;קריטריונים!$B$3),Oct!K29,"")</f>
        <v/>
      </c>
      <c r="J28" s="113" t="str">
        <f>IF(AND(ABS(Oct!J29)&gt;קריטריונים!$B$2,Oct!B29&gt;קריטריונים!$B$3),Oct!J29,"")</f>
        <v/>
      </c>
      <c r="K28" s="113" t="str">
        <f>IF(AND(ABS(Oct!F29)&gt;קריטריונים!$B$1,Oct!B29&gt;קריטריונים!$B$3),Oct!F29,"")</f>
        <v/>
      </c>
      <c r="L28" s="113" t="str">
        <f>IF(AND(ABS(Oct!E29)&gt;קריטריונים!$B$1,Oct!B29&gt;קריטריונים!$B$3),Oct!E29,"")</f>
        <v/>
      </c>
      <c r="M28" s="113" t="str">
        <f>IF(AND(ABS(Sep!K29)&gt;קריטריונים!$B$2,Sep!B29&gt;קריטריונים!$B$3),Sep!K29,"")</f>
        <v/>
      </c>
      <c r="N28" s="113" t="str">
        <f>IF(AND(ABS(Sep!J29)&gt;קריטריונים!$B$2,Sep!B29&gt;קריטריונים!$B$3),Sep!J29,"")</f>
        <v/>
      </c>
      <c r="O28" s="113" t="str">
        <f>IF(AND(ABS(Sep!F29)&gt;קריטריונים!$B$1,Sep!B29&gt;קריטריונים!$B$3),Sep!F29,"")</f>
        <v/>
      </c>
      <c r="P28" s="113" t="str">
        <f>IF(AND(ABS(Sep!E29)&gt;קריטריונים!$B$1,Sep!B29&gt;קריטריונים!$B$3),Sep!E29,"")</f>
        <v/>
      </c>
      <c r="Q28" s="113" t="str">
        <f>IF(AND(ABS(Aug!K29)&gt;קריטריונים!$B$2,Aug!B29&gt;קריטריונים!$B$3),Aug!K29,"")</f>
        <v/>
      </c>
      <c r="R28" s="113" t="str">
        <f>IF(AND(ABS(Aug!J29)&gt;קריטריונים!$B$2,Aug!B29&gt;קריטריונים!$B$3),Aug!J29,"")</f>
        <v/>
      </c>
      <c r="S28" s="113" t="str">
        <f>IF(AND(ABS(Aug!F29)&gt;קריטריונים!$B$1,Aug!B29&gt;קריטריונים!$B$3),Aug!F29,"")</f>
        <v/>
      </c>
      <c r="T28" s="113" t="str">
        <f>IF(AND(ABS(Aug!E29)&gt;קריטריונים!$B$1,Aug!B29&gt;קריטריונים!$B$3),Aug!E29,"")</f>
        <v/>
      </c>
      <c r="U28" s="113" t="str">
        <f>IF(AND(ABS(Jul!K29)&gt;קריטריונים!$B$2,Jul!B29&gt;קריטריונים!$B$3),Jul!K29,"")</f>
        <v/>
      </c>
      <c r="V28" s="113" t="str">
        <f>IF(AND(ABS(Jul!J29)&gt;קריטריונים!$B$2,Jul!B29&gt;קריטריונים!$B$3),Jul!J29,"")</f>
        <v/>
      </c>
      <c r="W28" s="113" t="str">
        <f>IF(AND(ABS(Jul!F29)&gt;קריטריונים!$B$1,Jul!B29&gt;קריטריונים!$B$3),Jul!F29,"")</f>
        <v/>
      </c>
      <c r="X28" s="113" t="str">
        <f>IF(AND(ABS(Jul!E29)&gt;קריטריונים!$B$1,Jul!B29&gt;קריטריונים!$B$3),Jul!E29,"")</f>
        <v/>
      </c>
      <c r="Y28" s="113" t="str">
        <f>IF(AND(ABS(Jun!K29)&gt;קריטריונים!$B$2,Jun!B29&gt;קריטריונים!$B$3),Jun!K29,"")</f>
        <v/>
      </c>
      <c r="Z28" s="113" t="str">
        <f>IF(AND(ABS(Jun!J29)&gt;קריטריונים!$B$2,Jun!B29&gt;קריטריונים!$B$3),Jun!J29,"")</f>
        <v/>
      </c>
      <c r="AA28" s="113" t="str">
        <f>IF(AND(ABS(Jun!F29)&gt;קריטריונים!$B$1,Jun!B29&gt;קריטריונים!$B$3),Jun!F29,"")</f>
        <v/>
      </c>
      <c r="AB28" s="113" t="str">
        <f>IF(AND(ABS(Jun!E29)&gt;קריטריונים!$B$1,Jun!B29&gt;קריטריונים!$B$3),Jun!E29,"")</f>
        <v/>
      </c>
      <c r="AC28" s="113" t="str">
        <f>IF(AND(ABS(May!K29)&gt;קריטריונים!$B$2,May!B29&gt;קריטריונים!$B$3),May!K29,"")</f>
        <v/>
      </c>
      <c r="AD28" s="113" t="str">
        <f>IF(AND(ABS(May!J29)&gt;קריטריונים!$B$2,May!B29&gt;קריטריונים!$B$3),May!J29,"")</f>
        <v/>
      </c>
      <c r="AE28" s="113" t="str">
        <f>IF(AND(ABS(May!F29)&gt;קריטריונים!$B$1,May!B29&gt;קריטריונים!$B$3),May!F29,"")</f>
        <v/>
      </c>
      <c r="AF28" s="113" t="str">
        <f>IF(AND(ABS(May!E29)&gt;קריטריונים!$B$1,May!B29&gt;קריטריונים!$B$3),May!E29,"")</f>
        <v/>
      </c>
      <c r="AG28" s="113">
        <f>IF(AND(ABS(Apr!K29)&gt;קריטריונים!$B$2,Apr!B29&gt;קריטריונים!$B$3),Apr!K29,"")</f>
        <v>0.10375275938189832</v>
      </c>
      <c r="AH28" s="113">
        <f>IF(AND(ABS(Apr!J29)&gt;קריטריונים!$B$2,Apr!B29&gt;קריטריונים!$B$3),Apr!J29,"")</f>
        <v>-0.24914675767918093</v>
      </c>
      <c r="AI28" s="113">
        <f>IF(AND(ABS(Apr!F29)&gt;קריטריונים!$B$1,Apr!B29&gt;קריטריונים!$B$3),Apr!F29,"")</f>
        <v>0.10317975340687857</v>
      </c>
      <c r="AJ28" s="113">
        <f>IF(AND(ABS(Apr!E29)&gt;קריטריונים!$B$1,Apr!B29&gt;קריטריונים!$B$3),Apr!E29,"")</f>
        <v>-0.24500370096225021</v>
      </c>
      <c r="AK28" s="113" t="str">
        <f>IF(AND(ABS(Mar!K29)&gt;קריטריונים!$B$2,Mar!B29&gt;קריטריונים!$B$3),Mar!K29,"")</f>
        <v/>
      </c>
      <c r="AL28" s="113" t="str">
        <f>IF(AND(ABS(Mar!J29)&gt;קריטריונים!$B$2,Mar!B29&gt;קריטריונים!$B$3),Mar!J29,"")</f>
        <v/>
      </c>
      <c r="AM28" s="113" t="str">
        <f>IF(AND(ABS(Mar!F29)&gt;קריטריונים!$B$1,Mar!B29&gt;קריטריונים!$B$3),Mar!F29,"")</f>
        <v/>
      </c>
      <c r="AN28" s="113" t="str">
        <f>IF(AND(ABS(Mar!E29)&gt;קריטריונים!$B$1,Mar!B29&gt;קריטריונים!$B$3),Mar!E29,"")</f>
        <v/>
      </c>
      <c r="AO28" s="113" t="str">
        <f>IF(AND(ABS(Feb!K29)&gt;קריטריונים!$B$2,Feb!B29&gt;קריטריונים!$B$3),Feb!K29,"")</f>
        <v/>
      </c>
      <c r="AP28" s="113" t="str">
        <f>IF(AND(ABS(Feb!J29)&gt;קריטריונים!$B$2,Feb!B29&gt;קריטריונים!$B$3),Feb!J29,"")</f>
        <v/>
      </c>
      <c r="AQ28" s="113" t="str">
        <f>IF(AND(ABS(Feb!F29)&gt;קריטריונים!$B$1,Feb!B29&gt;קריטריונים!$B$3),Feb!F29,"")</f>
        <v/>
      </c>
      <c r="AR28" s="113" t="str">
        <f>IF(AND(ABS(Feb!G29)&gt;קריטריונים!$B$1,Feb!C29&gt;קריטריונים!$B$3),Feb!G29,"")</f>
        <v/>
      </c>
      <c r="AS28" s="113" t="str">
        <f>IF(AND(ABS(Feb!H29)&gt;קריטריונים!$B$1,Feb!D29&gt;קריטריונים!$B$3),Feb!H29,"")</f>
        <v/>
      </c>
      <c r="AT28" s="103" t="str">
        <f>IF(AND(ABS(Jan!E29)&gt;קריטריונים!$B$1,Jan!B29&gt;קריטריונים!$B$3),Jan!E29,"")</f>
        <v/>
      </c>
      <c r="AU28" s="118" t="s">
        <v>22</v>
      </c>
    </row>
    <row r="29" spans="1:47">
      <c r="A29" s="112" t="str">
        <f>IF(AND(ABS(Dec!K30)&gt;קריטריונים!$B$2,Dec!B30&gt;קריטריונים!$B$3),Dec!K30,"")</f>
        <v/>
      </c>
      <c r="B29" s="113" t="str">
        <f>IF(AND(ABS(Dec!J30)&gt;קריטריונים!$B$2,Dec!B30&gt;קריטריונים!$B$3),Dec!J30,"")</f>
        <v/>
      </c>
      <c r="C29" s="113" t="str">
        <f>IF(AND(ABS(Dec!F30)&gt;קריטריונים!$B$1,Dec!B30&gt;קריטריונים!$B$3),Dec!F30,"")</f>
        <v/>
      </c>
      <c r="D29" s="113" t="str">
        <f>IF(AND(ABS(Dec!E30)&gt;קריטריונים!$B$1,Dec!B30&gt;קריטריונים!$B$3),Dec!E30,"")</f>
        <v/>
      </c>
      <c r="E29" s="113" t="str">
        <f>IF(AND(ABS(Nov!K30)&gt;קריטריונים!$B$2,Nov!B30&gt;קריטריונים!$B$3),Nov!K30,"")</f>
        <v/>
      </c>
      <c r="F29" s="113" t="str">
        <f>IF(AND(ABS(Nov!J30)&gt;קריטריונים!$B$2,Nov!B30&gt;קריטריונים!$B$3),Nov!J30,"")</f>
        <v/>
      </c>
      <c r="G29" s="113" t="str">
        <f>IF(AND(ABS(Nov!F30)&gt;קריטריונים!$B$1,Nov!B30&gt;קריטריונים!$B$3),Nov!F30,"")</f>
        <v/>
      </c>
      <c r="H29" s="113" t="str">
        <f>IF(AND(ABS(Nov!E30)&gt;קריטריונים!$B$1,Nov!B30&gt;קריטריונים!$B$3),Nov!E30,"")</f>
        <v/>
      </c>
      <c r="I29" s="113" t="str">
        <f>IF(AND(ABS(Oct!K30)&gt;קריטריונים!$B$2,Oct!B30&gt;קריטריונים!$B$3),Oct!K30,"")</f>
        <v/>
      </c>
      <c r="J29" s="113" t="str">
        <f>IF(AND(ABS(Oct!J30)&gt;קריטריונים!$B$2,Oct!B30&gt;קריטריונים!$B$3),Oct!J30,"")</f>
        <v/>
      </c>
      <c r="K29" s="113" t="str">
        <f>IF(AND(ABS(Oct!F30)&gt;קריטריונים!$B$1,Oct!B30&gt;קריטריונים!$B$3),Oct!F30,"")</f>
        <v/>
      </c>
      <c r="L29" s="113" t="str">
        <f>IF(AND(ABS(Oct!E30)&gt;קריטריונים!$B$1,Oct!B30&gt;קריטריונים!$B$3),Oct!E30,"")</f>
        <v/>
      </c>
      <c r="M29" s="113" t="str">
        <f>IF(AND(ABS(Sep!K30)&gt;קריטריונים!$B$2,Sep!B30&gt;קריטריונים!$B$3),Sep!K30,"")</f>
        <v/>
      </c>
      <c r="N29" s="113" t="str">
        <f>IF(AND(ABS(Sep!J30)&gt;קריטריונים!$B$2,Sep!B30&gt;קריטריונים!$B$3),Sep!J30,"")</f>
        <v/>
      </c>
      <c r="O29" s="113" t="str">
        <f>IF(AND(ABS(Sep!F30)&gt;קריטריונים!$B$1,Sep!B30&gt;קריטריונים!$B$3),Sep!F30,"")</f>
        <v/>
      </c>
      <c r="P29" s="113" t="str">
        <f>IF(AND(ABS(Sep!E30)&gt;קריטריונים!$B$1,Sep!B30&gt;קריטריונים!$B$3),Sep!E30,"")</f>
        <v/>
      </c>
      <c r="Q29" s="113" t="str">
        <f>IF(AND(ABS(Aug!K30)&gt;קריטריונים!$B$2,Aug!B30&gt;קריטריונים!$B$3),Aug!K30,"")</f>
        <v/>
      </c>
      <c r="R29" s="113" t="str">
        <f>IF(AND(ABS(Aug!J30)&gt;קריטריונים!$B$2,Aug!B30&gt;קריטריונים!$B$3),Aug!J30,"")</f>
        <v/>
      </c>
      <c r="S29" s="113" t="str">
        <f>IF(AND(ABS(Aug!F30)&gt;קריטריונים!$B$1,Aug!B30&gt;קריטריונים!$B$3),Aug!F30,"")</f>
        <v/>
      </c>
      <c r="T29" s="113" t="str">
        <f>IF(AND(ABS(Aug!E30)&gt;קריטריונים!$B$1,Aug!B30&gt;קריטריונים!$B$3),Aug!E30,"")</f>
        <v/>
      </c>
      <c r="U29" s="113" t="str">
        <f>IF(AND(ABS(Jul!K30)&gt;קריטריונים!$B$2,Jul!B30&gt;קריטריונים!$B$3),Jul!K30,"")</f>
        <v/>
      </c>
      <c r="V29" s="113" t="str">
        <f>IF(AND(ABS(Jul!J30)&gt;קריטריונים!$B$2,Jul!B30&gt;קריטריונים!$B$3),Jul!J30,"")</f>
        <v/>
      </c>
      <c r="W29" s="113" t="str">
        <f>IF(AND(ABS(Jul!F30)&gt;קריטריונים!$B$1,Jul!B30&gt;קריטריונים!$B$3),Jul!F30,"")</f>
        <v/>
      </c>
      <c r="X29" s="113" t="str">
        <f>IF(AND(ABS(Jul!E30)&gt;קריטריונים!$B$1,Jul!B30&gt;קריטריונים!$B$3),Jul!E30,"")</f>
        <v/>
      </c>
      <c r="Y29" s="113" t="str">
        <f>IF(AND(ABS(Jun!K30)&gt;קריטריונים!$B$2,Jun!B30&gt;קריטריונים!$B$3),Jun!K30,"")</f>
        <v/>
      </c>
      <c r="Z29" s="113" t="str">
        <f>IF(AND(ABS(Jun!J30)&gt;קריטריונים!$B$2,Jun!B30&gt;קריטריונים!$B$3),Jun!J30,"")</f>
        <v/>
      </c>
      <c r="AA29" s="113" t="str">
        <f>IF(AND(ABS(Jun!F30)&gt;קריטריונים!$B$1,Jun!B30&gt;קריטריונים!$B$3),Jun!F30,"")</f>
        <v/>
      </c>
      <c r="AB29" s="113" t="str">
        <f>IF(AND(ABS(Jun!E30)&gt;קריטריונים!$B$1,Jun!B30&gt;קריטריונים!$B$3),Jun!E30,"")</f>
        <v/>
      </c>
      <c r="AC29" s="113" t="str">
        <f>IF(AND(ABS(May!K30)&gt;קריטריונים!$B$2,May!B30&gt;קריטריונים!$B$3),May!K30,"")</f>
        <v/>
      </c>
      <c r="AD29" s="113" t="str">
        <f>IF(AND(ABS(May!J30)&gt;קריטריונים!$B$2,May!B30&gt;קריטריונים!$B$3),May!J30,"")</f>
        <v/>
      </c>
      <c r="AE29" s="113" t="str">
        <f>IF(AND(ABS(May!F30)&gt;קריטריונים!$B$1,May!B30&gt;קריטריונים!$B$3),May!F30,"")</f>
        <v/>
      </c>
      <c r="AF29" s="113" t="str">
        <f>IF(AND(ABS(May!E30)&gt;קריטריונים!$B$1,May!B30&gt;קריטריונים!$B$3),May!E30,"")</f>
        <v/>
      </c>
      <c r="AG29" s="113" t="str">
        <f>IF(AND(ABS(Apr!K30)&gt;קריטריונים!$B$2,Apr!B30&gt;קריטריונים!$B$3),Apr!K30,"")</f>
        <v/>
      </c>
      <c r="AH29" s="113" t="str">
        <f>IF(AND(ABS(Apr!J30)&gt;קריטריונים!$B$2,Apr!B30&gt;קריטריונים!$B$3),Apr!J30,"")</f>
        <v/>
      </c>
      <c r="AI29" s="113" t="str">
        <f>IF(AND(ABS(Apr!F30)&gt;קריטריונים!$B$1,Apr!B30&gt;קריטריונים!$B$3),Apr!F30,"")</f>
        <v/>
      </c>
      <c r="AJ29" s="113" t="str">
        <f>IF(AND(ABS(Apr!E30)&gt;קריטריונים!$B$1,Apr!B30&gt;קריטריונים!$B$3),Apr!E30,"")</f>
        <v/>
      </c>
      <c r="AK29" s="113" t="str">
        <f>IF(AND(ABS(Mar!K30)&gt;קריטריונים!$B$2,Mar!B30&gt;קריטריונים!$B$3),Mar!K30,"")</f>
        <v/>
      </c>
      <c r="AL29" s="113" t="str">
        <f>IF(AND(ABS(Mar!J30)&gt;קריטריונים!$B$2,Mar!B30&gt;קריטריונים!$B$3),Mar!J30,"")</f>
        <v/>
      </c>
      <c r="AM29" s="113" t="str">
        <f>IF(AND(ABS(Mar!F30)&gt;קריטריונים!$B$1,Mar!B30&gt;קריטריונים!$B$3),Mar!F30,"")</f>
        <v/>
      </c>
      <c r="AN29" s="113" t="str">
        <f>IF(AND(ABS(Mar!E30)&gt;קריטריונים!$B$1,Mar!B30&gt;קריטריונים!$B$3),Mar!E30,"")</f>
        <v/>
      </c>
      <c r="AO29" s="113" t="str">
        <f>IF(AND(ABS(Feb!K30)&gt;קריטריונים!$B$2,Feb!B30&gt;קריטריונים!$B$3),Feb!K30,"")</f>
        <v/>
      </c>
      <c r="AP29" s="113" t="str">
        <f>IF(AND(ABS(Feb!J30)&gt;קריטריונים!$B$2,Feb!B30&gt;קריטריונים!$B$3),Feb!J30,"")</f>
        <v/>
      </c>
      <c r="AQ29" s="113" t="str">
        <f>IF(AND(ABS(Feb!F30)&gt;קריטריונים!$B$1,Feb!B30&gt;קריטריונים!$B$3),Feb!F30,"")</f>
        <v/>
      </c>
      <c r="AR29" s="113" t="str">
        <f>IF(AND(ABS(Feb!G30)&gt;קריטריונים!$B$1,Feb!C30&gt;קריטריונים!$B$3),Feb!G30,"")</f>
        <v/>
      </c>
      <c r="AS29" s="113" t="str">
        <f>IF(AND(ABS(Feb!H30)&gt;קריטריונים!$B$1,Feb!D30&gt;קריטריונים!$B$3),Feb!H30,"")</f>
        <v/>
      </c>
      <c r="AT29" s="103" t="str">
        <f>IF(AND(ABS(Jan!E30)&gt;קריטריונים!$B$1,Jan!B30&gt;קריטריונים!$B$3),Jan!E30,"")</f>
        <v/>
      </c>
      <c r="AU29" s="118" t="s">
        <v>23</v>
      </c>
    </row>
    <row r="30" spans="1:47">
      <c r="A30" s="112" t="str">
        <f>IF(AND(ABS(Dec!K31)&gt;קריטריונים!$B$2,Dec!B31&gt;קריטריונים!$B$3),Dec!K31,"")</f>
        <v/>
      </c>
      <c r="B30" s="113" t="str">
        <f>IF(AND(ABS(Dec!J31)&gt;קריטריונים!$B$2,Dec!B31&gt;קריטריונים!$B$3),Dec!J31,"")</f>
        <v/>
      </c>
      <c r="C30" s="113" t="str">
        <f>IF(AND(ABS(Dec!F31)&gt;קריטריונים!$B$1,Dec!B31&gt;קריטריונים!$B$3),Dec!F31,"")</f>
        <v/>
      </c>
      <c r="D30" s="113" t="str">
        <f>IF(AND(ABS(Dec!E31)&gt;קריטריונים!$B$1,Dec!B31&gt;קריטריונים!$B$3),Dec!E31,"")</f>
        <v/>
      </c>
      <c r="E30" s="113" t="str">
        <f>IF(AND(ABS(Nov!K31)&gt;קריטריונים!$B$2,Nov!B31&gt;קריטריונים!$B$3),Nov!K31,"")</f>
        <v/>
      </c>
      <c r="F30" s="113" t="str">
        <f>IF(AND(ABS(Nov!J31)&gt;קריטריונים!$B$2,Nov!B31&gt;קריטריונים!$B$3),Nov!J31,"")</f>
        <v/>
      </c>
      <c r="G30" s="113" t="str">
        <f>IF(AND(ABS(Nov!F31)&gt;קריטריונים!$B$1,Nov!B31&gt;קריטריונים!$B$3),Nov!F31,"")</f>
        <v/>
      </c>
      <c r="H30" s="113" t="str">
        <f>IF(AND(ABS(Nov!E31)&gt;קריטריונים!$B$1,Nov!B31&gt;קריטריונים!$B$3),Nov!E31,"")</f>
        <v/>
      </c>
      <c r="I30" s="113" t="str">
        <f>IF(AND(ABS(Oct!K31)&gt;קריטריונים!$B$2,Oct!B31&gt;קריטריונים!$B$3),Oct!K31,"")</f>
        <v/>
      </c>
      <c r="J30" s="113" t="str">
        <f>IF(AND(ABS(Oct!J31)&gt;קריטריונים!$B$2,Oct!B31&gt;קריטריונים!$B$3),Oct!J31,"")</f>
        <v/>
      </c>
      <c r="K30" s="113" t="str">
        <f>IF(AND(ABS(Oct!F31)&gt;קריטריונים!$B$1,Oct!B31&gt;קריטריונים!$B$3),Oct!F31,"")</f>
        <v/>
      </c>
      <c r="L30" s="113" t="str">
        <f>IF(AND(ABS(Oct!E31)&gt;קריטריונים!$B$1,Oct!B31&gt;קריטריונים!$B$3),Oct!E31,"")</f>
        <v/>
      </c>
      <c r="M30" s="113" t="str">
        <f>IF(AND(ABS(Sep!K31)&gt;קריטריונים!$B$2,Sep!B31&gt;קריטריונים!$B$3),Sep!K31,"")</f>
        <v/>
      </c>
      <c r="N30" s="113" t="str">
        <f>IF(AND(ABS(Sep!J31)&gt;קריטריונים!$B$2,Sep!B31&gt;קריטריונים!$B$3),Sep!J31,"")</f>
        <v/>
      </c>
      <c r="O30" s="113" t="str">
        <f>IF(AND(ABS(Sep!F31)&gt;קריטריונים!$B$1,Sep!B31&gt;קריטריונים!$B$3),Sep!F31,"")</f>
        <v/>
      </c>
      <c r="P30" s="113" t="str">
        <f>IF(AND(ABS(Sep!E31)&gt;קריטריונים!$B$1,Sep!B31&gt;קריטריונים!$B$3),Sep!E31,"")</f>
        <v/>
      </c>
      <c r="Q30" s="113" t="str">
        <f>IF(AND(ABS(Aug!K31)&gt;קריטריונים!$B$2,Aug!B31&gt;קריטריונים!$B$3),Aug!K31,"")</f>
        <v/>
      </c>
      <c r="R30" s="113" t="str">
        <f>IF(AND(ABS(Aug!J31)&gt;קריטריונים!$B$2,Aug!B31&gt;קריטריונים!$B$3),Aug!J31,"")</f>
        <v/>
      </c>
      <c r="S30" s="113" t="str">
        <f>IF(AND(ABS(Aug!F31)&gt;קריטריונים!$B$1,Aug!B31&gt;קריטריונים!$B$3),Aug!F31,"")</f>
        <v/>
      </c>
      <c r="T30" s="113" t="str">
        <f>IF(AND(ABS(Aug!E31)&gt;קריטריונים!$B$1,Aug!B31&gt;קריטריונים!$B$3),Aug!E31,"")</f>
        <v/>
      </c>
      <c r="U30" s="113" t="str">
        <f>IF(AND(ABS(Jul!K31)&gt;קריטריונים!$B$2,Jul!B31&gt;קריטריונים!$B$3),Jul!K31,"")</f>
        <v/>
      </c>
      <c r="V30" s="113" t="str">
        <f>IF(AND(ABS(Jul!J31)&gt;קריטריונים!$B$2,Jul!B31&gt;קריטריונים!$B$3),Jul!J31,"")</f>
        <v/>
      </c>
      <c r="W30" s="113" t="str">
        <f>IF(AND(ABS(Jul!F31)&gt;קריטריונים!$B$1,Jul!B31&gt;קריטריונים!$B$3),Jul!F31,"")</f>
        <v/>
      </c>
      <c r="X30" s="113" t="str">
        <f>IF(AND(ABS(Jul!E31)&gt;קריטריונים!$B$1,Jul!B31&gt;קריטריונים!$B$3),Jul!E31,"")</f>
        <v/>
      </c>
      <c r="Y30" s="113" t="str">
        <f>IF(AND(ABS(Jun!K31)&gt;קריטריונים!$B$2,Jun!B31&gt;קריטריונים!$B$3),Jun!K31,"")</f>
        <v/>
      </c>
      <c r="Z30" s="113" t="str">
        <f>IF(AND(ABS(Jun!J31)&gt;קריטריונים!$B$2,Jun!B31&gt;קריטריונים!$B$3),Jun!J31,"")</f>
        <v/>
      </c>
      <c r="AA30" s="113" t="str">
        <f>IF(AND(ABS(Jun!F31)&gt;קריטריונים!$B$1,Jun!B31&gt;קריטריונים!$B$3),Jun!F31,"")</f>
        <v/>
      </c>
      <c r="AB30" s="113" t="str">
        <f>IF(AND(ABS(Jun!E31)&gt;קריטריונים!$B$1,Jun!B31&gt;קריטריונים!$B$3),Jun!E31,"")</f>
        <v/>
      </c>
      <c r="AC30" s="113" t="str">
        <f>IF(AND(ABS(May!K31)&gt;קריטריונים!$B$2,May!B31&gt;קריטריונים!$B$3),May!K31,"")</f>
        <v/>
      </c>
      <c r="AD30" s="113" t="str">
        <f>IF(AND(ABS(May!J31)&gt;קריטריונים!$B$2,May!B31&gt;קריטריונים!$B$3),May!J31,"")</f>
        <v/>
      </c>
      <c r="AE30" s="113" t="str">
        <f>IF(AND(ABS(May!F31)&gt;קריטריונים!$B$1,May!B31&gt;קריטריונים!$B$3),May!F31,"")</f>
        <v/>
      </c>
      <c r="AF30" s="113" t="str">
        <f>IF(AND(ABS(May!E31)&gt;קריטריונים!$B$1,May!B31&gt;קריטריונים!$B$3),May!E31,"")</f>
        <v/>
      </c>
      <c r="AG30" s="113" t="str">
        <f>IF(AND(ABS(Apr!K31)&gt;קריטריונים!$B$2,Apr!B31&gt;קריטריונים!$B$3),Apr!K31,"")</f>
        <v/>
      </c>
      <c r="AH30" s="113" t="str">
        <f>IF(AND(ABS(Apr!J31)&gt;קריטריונים!$B$2,Apr!B31&gt;קריטריונים!$B$3),Apr!J31,"")</f>
        <v/>
      </c>
      <c r="AI30" s="113" t="str">
        <f>IF(AND(ABS(Apr!F31)&gt;קריטריונים!$B$1,Apr!B31&gt;קריטריונים!$B$3),Apr!F31,"")</f>
        <v/>
      </c>
      <c r="AJ30" s="113" t="str">
        <f>IF(AND(ABS(Apr!E31)&gt;קריטריונים!$B$1,Apr!B31&gt;קריטריונים!$B$3),Apr!E31,"")</f>
        <v/>
      </c>
      <c r="AK30" s="113" t="str">
        <f>IF(AND(ABS(Mar!K31)&gt;קריטריונים!$B$2,Mar!B31&gt;קריטריונים!$B$3),Mar!K31,"")</f>
        <v/>
      </c>
      <c r="AL30" s="113" t="str">
        <f>IF(AND(ABS(Mar!J31)&gt;קריטריונים!$B$2,Mar!B31&gt;קריטריונים!$B$3),Mar!J31,"")</f>
        <v/>
      </c>
      <c r="AM30" s="113" t="str">
        <f>IF(AND(ABS(Mar!F31)&gt;קריטריונים!$B$1,Mar!B31&gt;קריטריונים!$B$3),Mar!F31,"")</f>
        <v/>
      </c>
      <c r="AN30" s="113" t="str">
        <f>IF(AND(ABS(Mar!E31)&gt;קריטריונים!$B$1,Mar!B31&gt;קריטריונים!$B$3),Mar!E31,"")</f>
        <v/>
      </c>
      <c r="AO30" s="113" t="str">
        <f>IF(AND(ABS(Feb!K31)&gt;קריטריונים!$B$2,Feb!B31&gt;קריטריונים!$B$3),Feb!K31,"")</f>
        <v/>
      </c>
      <c r="AP30" s="113" t="str">
        <f>IF(AND(ABS(Feb!J31)&gt;קריטריונים!$B$2,Feb!B31&gt;קריטריונים!$B$3),Feb!J31,"")</f>
        <v/>
      </c>
      <c r="AQ30" s="113" t="str">
        <f>IF(AND(ABS(Feb!F31)&gt;קריטריונים!$B$1,Feb!B31&gt;קריטריונים!$B$3),Feb!F31,"")</f>
        <v/>
      </c>
      <c r="AR30" s="113" t="str">
        <f>IF(AND(ABS(Feb!G31)&gt;קריטריונים!$B$1,Feb!C31&gt;קריטריונים!$B$3),Feb!G31,"")</f>
        <v/>
      </c>
      <c r="AS30" s="113" t="str">
        <f>IF(AND(ABS(Feb!H31)&gt;קריטריונים!$B$1,Feb!D31&gt;קריטריונים!$B$3),Feb!H31,"")</f>
        <v/>
      </c>
      <c r="AT30" s="103" t="str">
        <f>IF(AND(ABS(Jan!E31)&gt;קריטריונים!$B$1,Jan!B31&gt;קריטריונים!$B$3),Jan!E31,"")</f>
        <v/>
      </c>
      <c r="AU30" s="118" t="s">
        <v>24</v>
      </c>
    </row>
    <row r="31" spans="1:47">
      <c r="A31" s="112" t="str">
        <f>IF(AND(ABS(Dec!K32)&gt;קריטריונים!$B$2,Dec!B32&gt;קריטריונים!$B$3),Dec!K32,"")</f>
        <v/>
      </c>
      <c r="B31" s="113" t="str">
        <f>IF(AND(ABS(Dec!J32)&gt;קריטריונים!$B$2,Dec!B32&gt;קריטריונים!$B$3),Dec!J32,"")</f>
        <v/>
      </c>
      <c r="C31" s="113" t="str">
        <f>IF(AND(ABS(Dec!F32)&gt;קריטריונים!$B$1,Dec!B32&gt;קריטריונים!$B$3),Dec!F32,"")</f>
        <v/>
      </c>
      <c r="D31" s="113" t="str">
        <f>IF(AND(ABS(Dec!E32)&gt;קריטריונים!$B$1,Dec!B32&gt;קריטריונים!$B$3),Dec!E32,"")</f>
        <v/>
      </c>
      <c r="E31" s="113" t="str">
        <f>IF(AND(ABS(Nov!K32)&gt;קריטריונים!$B$2,Nov!B32&gt;קריטריונים!$B$3),Nov!K32,"")</f>
        <v/>
      </c>
      <c r="F31" s="113" t="str">
        <f>IF(AND(ABS(Nov!J32)&gt;קריטריונים!$B$2,Nov!B32&gt;קריטריונים!$B$3),Nov!J32,"")</f>
        <v/>
      </c>
      <c r="G31" s="113" t="str">
        <f>IF(AND(ABS(Nov!F32)&gt;קריטריונים!$B$1,Nov!B32&gt;קריטריונים!$B$3),Nov!F32,"")</f>
        <v/>
      </c>
      <c r="H31" s="113" t="str">
        <f>IF(AND(ABS(Nov!E32)&gt;קריטריונים!$B$1,Nov!B32&gt;קריטריונים!$B$3),Nov!E32,"")</f>
        <v/>
      </c>
      <c r="I31" s="113" t="str">
        <f>IF(AND(ABS(Oct!K32)&gt;קריטריונים!$B$2,Oct!B32&gt;קריטריונים!$B$3),Oct!K32,"")</f>
        <v/>
      </c>
      <c r="J31" s="113" t="str">
        <f>IF(AND(ABS(Oct!J32)&gt;קריטריונים!$B$2,Oct!B32&gt;קריטריונים!$B$3),Oct!J32,"")</f>
        <v/>
      </c>
      <c r="K31" s="113" t="str">
        <f>IF(AND(ABS(Oct!F32)&gt;קריטריונים!$B$1,Oct!B32&gt;קריטריונים!$B$3),Oct!F32,"")</f>
        <v/>
      </c>
      <c r="L31" s="113" t="str">
        <f>IF(AND(ABS(Oct!E32)&gt;קריטריונים!$B$1,Oct!B32&gt;קריטריונים!$B$3),Oct!E32,"")</f>
        <v/>
      </c>
      <c r="M31" s="113" t="str">
        <f>IF(AND(ABS(Sep!K32)&gt;קריטריונים!$B$2,Sep!B32&gt;קריטריונים!$B$3),Sep!K32,"")</f>
        <v/>
      </c>
      <c r="N31" s="113" t="str">
        <f>IF(AND(ABS(Sep!J32)&gt;קריטריונים!$B$2,Sep!B32&gt;קריטריונים!$B$3),Sep!J32,"")</f>
        <v/>
      </c>
      <c r="O31" s="113" t="str">
        <f>IF(AND(ABS(Sep!F32)&gt;קריטריונים!$B$1,Sep!B32&gt;קריטריונים!$B$3),Sep!F32,"")</f>
        <v/>
      </c>
      <c r="P31" s="113" t="str">
        <f>IF(AND(ABS(Sep!E32)&gt;קריטריונים!$B$1,Sep!B32&gt;קריטריונים!$B$3),Sep!E32,"")</f>
        <v/>
      </c>
      <c r="Q31" s="113" t="str">
        <f>IF(AND(ABS(Aug!K32)&gt;קריטריונים!$B$2,Aug!B32&gt;קריטריונים!$B$3),Aug!K32,"")</f>
        <v/>
      </c>
      <c r="R31" s="113" t="str">
        <f>IF(AND(ABS(Aug!J32)&gt;קריטריונים!$B$2,Aug!B32&gt;קריטריונים!$B$3),Aug!J32,"")</f>
        <v/>
      </c>
      <c r="S31" s="113" t="str">
        <f>IF(AND(ABS(Aug!F32)&gt;קריטריונים!$B$1,Aug!B32&gt;קריטריונים!$B$3),Aug!F32,"")</f>
        <v/>
      </c>
      <c r="T31" s="113" t="str">
        <f>IF(AND(ABS(Aug!E32)&gt;קריטריונים!$B$1,Aug!B32&gt;קריטריונים!$B$3),Aug!E32,"")</f>
        <v/>
      </c>
      <c r="U31" s="113" t="str">
        <f>IF(AND(ABS(Jul!K32)&gt;קריטריונים!$B$2,Jul!B32&gt;קריטריונים!$B$3),Jul!K32,"")</f>
        <v/>
      </c>
      <c r="V31" s="113" t="str">
        <f>IF(AND(ABS(Jul!J32)&gt;קריטריונים!$B$2,Jul!B32&gt;קריטריונים!$B$3),Jul!J32,"")</f>
        <v/>
      </c>
      <c r="W31" s="113" t="str">
        <f>IF(AND(ABS(Jul!F32)&gt;קריטריונים!$B$1,Jul!B32&gt;קריטריונים!$B$3),Jul!F32,"")</f>
        <v/>
      </c>
      <c r="X31" s="113" t="str">
        <f>IF(AND(ABS(Jul!E32)&gt;קריטריונים!$B$1,Jul!B32&gt;קריטריונים!$B$3),Jul!E32,"")</f>
        <v/>
      </c>
      <c r="Y31" s="113" t="str">
        <f>IF(AND(ABS(Jun!K32)&gt;קריטריונים!$B$2,Jun!B32&gt;קריטריונים!$B$3),Jun!K32,"")</f>
        <v/>
      </c>
      <c r="Z31" s="113" t="str">
        <f>IF(AND(ABS(Jun!J32)&gt;קריטריונים!$B$2,Jun!B32&gt;קריטריונים!$B$3),Jun!J32,"")</f>
        <v/>
      </c>
      <c r="AA31" s="113" t="str">
        <f>IF(AND(ABS(Jun!F32)&gt;קריטריונים!$B$1,Jun!B32&gt;קריטריונים!$B$3),Jun!F32,"")</f>
        <v/>
      </c>
      <c r="AB31" s="113" t="str">
        <f>IF(AND(ABS(Jun!E32)&gt;קריטריונים!$B$1,Jun!B32&gt;קריטריונים!$B$3),Jun!E32,"")</f>
        <v/>
      </c>
      <c r="AC31" s="113" t="str">
        <f>IF(AND(ABS(May!K32)&gt;קריטריונים!$B$2,May!B32&gt;קריטריונים!$B$3),May!K32,"")</f>
        <v/>
      </c>
      <c r="AD31" s="113" t="str">
        <f>IF(AND(ABS(May!J32)&gt;קריטריונים!$B$2,May!B32&gt;קריטריונים!$B$3),May!J32,"")</f>
        <v/>
      </c>
      <c r="AE31" s="113" t="str">
        <f>IF(AND(ABS(May!F32)&gt;קריטריונים!$B$1,May!B32&gt;קריטריונים!$B$3),May!F32,"")</f>
        <v/>
      </c>
      <c r="AF31" s="113" t="str">
        <f>IF(AND(ABS(May!E32)&gt;קריטריונים!$B$1,May!B32&gt;קריטריונים!$B$3),May!E32,"")</f>
        <v/>
      </c>
      <c r="AG31" s="113" t="str">
        <f>IF(AND(ABS(Apr!K32)&gt;קריטריונים!$B$2,Apr!B32&gt;קריטריונים!$B$3),Apr!K32,"")</f>
        <v/>
      </c>
      <c r="AH31" s="113" t="str">
        <f>IF(AND(ABS(Apr!J32)&gt;קריטריונים!$B$2,Apr!B32&gt;קריטריונים!$B$3),Apr!J32,"")</f>
        <v/>
      </c>
      <c r="AI31" s="113" t="str">
        <f>IF(AND(ABS(Apr!F32)&gt;קריטריונים!$B$1,Apr!B32&gt;קריטריונים!$B$3),Apr!F32,"")</f>
        <v/>
      </c>
      <c r="AJ31" s="113" t="str">
        <f>IF(AND(ABS(Apr!E32)&gt;קריטריונים!$B$1,Apr!B32&gt;קריטריונים!$B$3),Apr!E32,"")</f>
        <v/>
      </c>
      <c r="AK31" s="113" t="str">
        <f>IF(AND(ABS(Mar!K32)&gt;קריטריונים!$B$2,Mar!B32&gt;קריטריונים!$B$3),Mar!K32,"")</f>
        <v/>
      </c>
      <c r="AL31" s="113" t="str">
        <f>IF(AND(ABS(Mar!J32)&gt;קריטריונים!$B$2,Mar!B32&gt;קריטריונים!$B$3),Mar!J32,"")</f>
        <v/>
      </c>
      <c r="AM31" s="113" t="str">
        <f>IF(AND(ABS(Mar!F32)&gt;קריטריונים!$B$1,Mar!B32&gt;קריטריונים!$B$3),Mar!F32,"")</f>
        <v/>
      </c>
      <c r="AN31" s="113" t="str">
        <f>IF(AND(ABS(Mar!E32)&gt;קריטריונים!$B$1,Mar!B32&gt;קריטריונים!$B$3),Mar!E32,"")</f>
        <v/>
      </c>
      <c r="AO31" s="113" t="str">
        <f>IF(AND(ABS(Feb!K32)&gt;קריטריונים!$B$2,Feb!B32&gt;קריטריונים!$B$3),Feb!K32,"")</f>
        <v/>
      </c>
      <c r="AP31" s="113" t="str">
        <f>IF(AND(ABS(Feb!J32)&gt;קריטריונים!$B$2,Feb!B32&gt;קריטריונים!$B$3),Feb!J32,"")</f>
        <v/>
      </c>
      <c r="AQ31" s="113" t="str">
        <f>IF(AND(ABS(Feb!F32)&gt;קריטריונים!$B$1,Feb!B32&gt;קריטריונים!$B$3),Feb!F32,"")</f>
        <v/>
      </c>
      <c r="AR31" s="113" t="str">
        <f>IF(AND(ABS(Feb!G32)&gt;קריטריונים!$B$1,Feb!C32&gt;קריטריונים!$B$3),Feb!G32,"")</f>
        <v/>
      </c>
      <c r="AS31" s="113" t="str">
        <f>IF(AND(ABS(Feb!H32)&gt;קריטריונים!$B$1,Feb!D32&gt;קריטריונים!$B$3),Feb!H32,"")</f>
        <v/>
      </c>
      <c r="AT31" s="103" t="str">
        <f>IF(AND(ABS(Jan!E32)&gt;קריטריונים!$B$1,Jan!B32&gt;קריטריונים!$B$3),Jan!E32,"")</f>
        <v/>
      </c>
      <c r="AU31" s="118" t="s">
        <v>25</v>
      </c>
    </row>
    <row r="32" spans="1:47">
      <c r="A32" s="112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 t="str">
        <f>IF(AND(ABS(Feb!G33)&gt;קריטריונים!$B$1,Feb!C33&gt;קריטריונים!$B$3),Feb!G33,"")</f>
        <v/>
      </c>
      <c r="AS32" s="113" t="str">
        <f>IF(AND(ABS(Feb!H33)&gt;קריטריונים!$B$1,Feb!D33&gt;קריטריונים!$B$3),Feb!H33,"")</f>
        <v/>
      </c>
      <c r="AT32" s="103" t="str">
        <f>IF(AND(ABS(Jan!E33)&gt;קריטריונים!$B$1,Jan!B33&gt;קריטריונים!$B$3),Jan!E33,"")</f>
        <v/>
      </c>
      <c r="AU32" s="118" t="s">
        <v>19</v>
      </c>
    </row>
    <row r="33" spans="1:47">
      <c r="A33" s="112" t="str">
        <f>IF(AND(ABS(Dec!K34)&gt;קריטריונים!$B$2,Dec!B34&gt;קריטריונים!$B$3),Dec!K34,"")</f>
        <v/>
      </c>
      <c r="B33" s="113" t="str">
        <f>IF(AND(ABS(Dec!J34)&gt;קריטריונים!$B$2,Dec!B34&gt;קריטריונים!$B$3),Dec!J34,"")</f>
        <v/>
      </c>
      <c r="C33" s="113" t="str">
        <f>IF(AND(ABS(Dec!F34)&gt;קריטריונים!$B$1,Dec!B34&gt;קריטריונים!$B$3),Dec!F34,"")</f>
        <v/>
      </c>
      <c r="D33" s="113" t="str">
        <f>IF(AND(ABS(Dec!E34)&gt;קריטריונים!$B$1,Dec!B34&gt;קריטריונים!$B$3),Dec!E34,"")</f>
        <v/>
      </c>
      <c r="E33" s="113" t="str">
        <f>IF(AND(ABS(Nov!K34)&gt;קריטריונים!$B$2,Nov!B34&gt;קריטריונים!$B$3),Nov!K34,"")</f>
        <v/>
      </c>
      <c r="F33" s="113" t="str">
        <f>IF(AND(ABS(Nov!J34)&gt;קריטריונים!$B$2,Nov!B34&gt;קריטריונים!$B$3),Nov!J34,"")</f>
        <v/>
      </c>
      <c r="G33" s="113" t="str">
        <f>IF(AND(ABS(Nov!F34)&gt;קריטריונים!$B$1,Nov!B34&gt;קריטריונים!$B$3),Nov!F34,"")</f>
        <v/>
      </c>
      <c r="H33" s="113" t="str">
        <f>IF(AND(ABS(Nov!E34)&gt;קריטריונים!$B$1,Nov!B34&gt;קריטריונים!$B$3),Nov!E34,"")</f>
        <v/>
      </c>
      <c r="I33" s="113" t="str">
        <f>IF(AND(ABS(Oct!K34)&gt;קריטריונים!$B$2,Oct!B34&gt;קריטריונים!$B$3),Oct!K34,"")</f>
        <v/>
      </c>
      <c r="J33" s="113" t="str">
        <f>IF(AND(ABS(Oct!J34)&gt;קריטריונים!$B$2,Oct!B34&gt;קריטריונים!$B$3),Oct!J34,"")</f>
        <v/>
      </c>
      <c r="K33" s="113" t="str">
        <f>IF(AND(ABS(Oct!F34)&gt;קריטריונים!$B$1,Oct!B34&gt;קריטריונים!$B$3),Oct!F34,"")</f>
        <v/>
      </c>
      <c r="L33" s="113" t="str">
        <f>IF(AND(ABS(Oct!E34)&gt;קריטריונים!$B$1,Oct!B34&gt;קריטריונים!$B$3),Oct!E34,"")</f>
        <v/>
      </c>
      <c r="M33" s="113" t="str">
        <f>IF(AND(ABS(Sep!K34)&gt;קריטריונים!$B$2,Sep!B34&gt;קריטריונים!$B$3),Sep!K34,"")</f>
        <v/>
      </c>
      <c r="N33" s="113" t="str">
        <f>IF(AND(ABS(Sep!J34)&gt;קריטריונים!$B$2,Sep!B34&gt;קריטריונים!$B$3),Sep!J34,"")</f>
        <v/>
      </c>
      <c r="O33" s="113" t="str">
        <f>IF(AND(ABS(Sep!F34)&gt;קריטריונים!$B$1,Sep!B34&gt;קריטריונים!$B$3),Sep!F34,"")</f>
        <v/>
      </c>
      <c r="P33" s="113" t="str">
        <f>IF(AND(ABS(Sep!E34)&gt;קריטריונים!$B$1,Sep!B34&gt;קריטריונים!$B$3),Sep!E34,"")</f>
        <v/>
      </c>
      <c r="Q33" s="113" t="str">
        <f>IF(AND(ABS(Aug!K34)&gt;קריטריונים!$B$2,Aug!B34&gt;קריטריונים!$B$3),Aug!K34,"")</f>
        <v/>
      </c>
      <c r="R33" s="113" t="str">
        <f>IF(AND(ABS(Aug!J34)&gt;קריטריונים!$B$2,Aug!B34&gt;קריטריונים!$B$3),Aug!J34,"")</f>
        <v/>
      </c>
      <c r="S33" s="113" t="str">
        <f>IF(AND(ABS(Aug!F34)&gt;קריטריונים!$B$1,Aug!B34&gt;קריטריונים!$B$3),Aug!F34,"")</f>
        <v/>
      </c>
      <c r="T33" s="113" t="str">
        <f>IF(AND(ABS(Aug!E34)&gt;קריטריונים!$B$1,Aug!B34&gt;קריטריונים!$B$3),Aug!E34,"")</f>
        <v/>
      </c>
      <c r="U33" s="113" t="str">
        <f>IF(AND(ABS(Jul!K34)&gt;קריטריונים!$B$2,Jul!B34&gt;קריטריונים!$B$3),Jul!K34,"")</f>
        <v/>
      </c>
      <c r="V33" s="113" t="str">
        <f>IF(AND(ABS(Jul!J34)&gt;קריטריונים!$B$2,Jul!B34&gt;קריטריונים!$B$3),Jul!J34,"")</f>
        <v/>
      </c>
      <c r="W33" s="113" t="str">
        <f>IF(AND(ABS(Jul!F34)&gt;קריטריונים!$B$1,Jul!B34&gt;קריטריונים!$B$3),Jul!F34,"")</f>
        <v/>
      </c>
      <c r="X33" s="113" t="str">
        <f>IF(AND(ABS(Jul!E34)&gt;קריטריונים!$B$1,Jul!B34&gt;קריטריונים!$B$3),Jul!E34,"")</f>
        <v/>
      </c>
      <c r="Y33" s="113" t="str">
        <f>IF(AND(ABS(Jun!K34)&gt;קריטריונים!$B$2,Jun!B34&gt;קריטריונים!$B$3),Jun!K34,"")</f>
        <v/>
      </c>
      <c r="Z33" s="113" t="str">
        <f>IF(AND(ABS(Jun!J34)&gt;קריטריונים!$B$2,Jun!B34&gt;קריטריונים!$B$3),Jun!J34,"")</f>
        <v/>
      </c>
      <c r="AA33" s="113" t="str">
        <f>IF(AND(ABS(Jun!F34)&gt;קריטריונים!$B$1,Jun!B34&gt;קריטריונים!$B$3),Jun!F34,"")</f>
        <v/>
      </c>
      <c r="AB33" s="113" t="str">
        <f>IF(AND(ABS(Jun!E34)&gt;קריטריונים!$B$1,Jun!B34&gt;קריטריונים!$B$3),Jun!E34,"")</f>
        <v/>
      </c>
      <c r="AC33" s="113" t="str">
        <f>IF(AND(ABS(May!K34)&gt;קריטריונים!$B$2,May!B34&gt;קריטריונים!$B$3),May!K34,"")</f>
        <v/>
      </c>
      <c r="AD33" s="113" t="str">
        <f>IF(AND(ABS(May!J34)&gt;קריטריונים!$B$2,May!B34&gt;קריטריונים!$B$3),May!J34,"")</f>
        <v/>
      </c>
      <c r="AE33" s="113" t="str">
        <f>IF(AND(ABS(May!F34)&gt;קריטריונים!$B$1,May!B34&gt;קריטריונים!$B$3),May!F34,"")</f>
        <v/>
      </c>
      <c r="AF33" s="113" t="str">
        <f>IF(AND(ABS(May!E34)&gt;קריטריונים!$B$1,May!B34&gt;קריטריונים!$B$3),May!E34,"")</f>
        <v/>
      </c>
      <c r="AG33" s="113" t="str">
        <f>IF(AND(ABS(Apr!K34)&gt;קריטריונים!$B$2,Apr!B34&gt;קריטריונים!$B$3),Apr!K34,"")</f>
        <v/>
      </c>
      <c r="AH33" s="113" t="str">
        <f>IF(AND(ABS(Apr!J34)&gt;קריטריונים!$B$2,Apr!B34&gt;קריטריונים!$B$3),Apr!J34,"")</f>
        <v/>
      </c>
      <c r="AI33" s="113" t="str">
        <f>IF(AND(ABS(Apr!F34)&gt;קריטריונים!$B$1,Apr!B34&gt;קריטריונים!$B$3),Apr!F34,"")</f>
        <v/>
      </c>
      <c r="AJ33" s="113" t="str">
        <f>IF(AND(ABS(Apr!E34)&gt;קריטריונים!$B$1,Apr!B34&gt;קריטריונים!$B$3),Apr!E34,"")</f>
        <v/>
      </c>
      <c r="AK33" s="113" t="str">
        <f>IF(AND(ABS(Mar!K34)&gt;קריטריונים!$B$2,Mar!B34&gt;קריטריונים!$B$3),Mar!K34,"")</f>
        <v/>
      </c>
      <c r="AL33" s="113" t="str">
        <f>IF(AND(ABS(Mar!J34)&gt;קריטריונים!$B$2,Mar!B34&gt;קריטריונים!$B$3),Mar!J34,"")</f>
        <v/>
      </c>
      <c r="AM33" s="113" t="str">
        <f>IF(AND(ABS(Mar!F34)&gt;קריטריונים!$B$1,Mar!B34&gt;קריטריונים!$B$3),Mar!F34,"")</f>
        <v/>
      </c>
      <c r="AN33" s="113" t="str">
        <f>IF(AND(ABS(Mar!E34)&gt;קריטריונים!$B$1,Mar!B34&gt;קריטריונים!$B$3),Mar!E34,"")</f>
        <v/>
      </c>
      <c r="AO33" s="113" t="str">
        <f>IF(AND(ABS(Feb!K34)&gt;קריטריונים!$B$2,Feb!B34&gt;קריטריונים!$B$3),Feb!K34,"")</f>
        <v/>
      </c>
      <c r="AP33" s="113" t="str">
        <f>IF(AND(ABS(Feb!J34)&gt;קריטריונים!$B$2,Feb!B34&gt;קריטריונים!$B$3),Feb!J34,"")</f>
        <v/>
      </c>
      <c r="AQ33" s="113" t="str">
        <f>IF(AND(ABS(Feb!F34)&gt;קריטריונים!$B$1,Feb!B34&gt;קריטריונים!$B$3),Feb!F34,"")</f>
        <v/>
      </c>
      <c r="AR33" s="113" t="str">
        <f>IF(AND(ABS(Feb!G34)&gt;קריטריונים!$B$1,Feb!C34&gt;קריטריונים!$B$3),Feb!G34,"")</f>
        <v/>
      </c>
      <c r="AS33" s="113" t="str">
        <f>IF(AND(ABS(Feb!H34)&gt;קריטריונים!$B$1,Feb!D34&gt;קריטריונים!$B$3),Feb!H34,"")</f>
        <v/>
      </c>
      <c r="AT33" s="103" t="str">
        <f>IF(AND(ABS(Jan!E34)&gt;קריטריונים!$B$1,Jan!B34&gt;קריטריונים!$B$3),Jan!E34,"")</f>
        <v/>
      </c>
      <c r="AU33" s="119"/>
    </row>
    <row r="34" spans="1:47">
      <c r="A34" s="112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>
        <f>IF(AND(ABS(Feb!G35)&gt;קריטריונים!$B$1,Feb!C35&gt;קריטריונים!$B$3),Feb!G35,"")</f>
        <v>244.6</v>
      </c>
      <c r="AS34" s="113">
        <f>IF(AND(ABS(Feb!H35)&gt;קריטריונים!$B$1,Feb!D35&gt;קריטריונים!$B$3),Feb!H35,"")</f>
        <v>198.185</v>
      </c>
      <c r="AT34" s="103">
        <f>IF(AND(ABS(Jan!E35)&gt;קריטריונים!$B$1,Jan!B35&gt;קריטריונים!$B$3),Jan!E35,"")</f>
        <v>0.26533383275587585</v>
      </c>
      <c r="AU34" s="118" t="s">
        <v>26</v>
      </c>
    </row>
    <row r="35" spans="1:47">
      <c r="A35" s="112" t="str">
        <f>IF(AND(ABS(Dec!K36)&gt;קריטריונים!$B$2,Dec!B36&gt;קריטריונים!$B$3),Dec!K36,"")</f>
        <v/>
      </c>
      <c r="B35" s="113" t="str">
        <f>IF(AND(ABS(Dec!J36)&gt;קריטריונים!$B$2,Dec!B36&gt;קריטריונים!$B$3),Dec!J36,"")</f>
        <v/>
      </c>
      <c r="C35" s="113" t="str">
        <f>IF(AND(ABS(Dec!F36)&gt;קריטריונים!$B$1,Dec!B36&gt;קריטריונים!$B$3),Dec!F36,"")</f>
        <v/>
      </c>
      <c r="D35" s="113" t="str">
        <f>IF(AND(ABS(Dec!E36)&gt;קריטריונים!$B$1,Dec!B36&gt;קריטריונים!$B$3),Dec!E36,"")</f>
        <v/>
      </c>
      <c r="E35" s="113">
        <f>IF(AND(ABS(Nov!K36)&gt;קריטריונים!$B$2,Nov!B36&gt;קריטריונים!$B$3),Nov!K36,"")</f>
        <v>6.9049061175045168E-2</v>
      </c>
      <c r="F35" s="113">
        <f>IF(AND(ABS(Nov!J36)&gt;קריטריונים!$B$2,Nov!B36&gt;קריטריונים!$B$3),Nov!J36,"")</f>
        <v>0.15779461445111331</v>
      </c>
      <c r="G35" s="113">
        <f>IF(AND(ABS(Nov!F36)&gt;קריטריונים!$B$1,Nov!B36&gt;קריטריונים!$B$3),Nov!F36,"")</f>
        <v>0.43993937097385372</v>
      </c>
      <c r="H35" s="113">
        <f>IF(AND(ABS(Nov!E36)&gt;קריטריונים!$B$1,Nov!B36&gt;קריטריונים!$B$3),Nov!E36,"")</f>
        <v>0.18472330475448162</v>
      </c>
      <c r="I35" s="113">
        <f>IF(AND(ABS(Oct!K36)&gt;קריטריונים!$B$2,Oct!B36&gt;קריטריונים!$B$3),Oct!K36,"")</f>
        <v>3.6832230670484911E-2</v>
      </c>
      <c r="J35" s="113">
        <f>IF(AND(ABS(Oct!J36)&gt;קריטריונים!$B$2,Oct!B36&gt;קריטריונים!$B$3),Oct!J36,"")</f>
        <v>0.15462859446877908</v>
      </c>
      <c r="K35" s="113">
        <f>IF(AND(ABS(Oct!F36)&gt;קריטריונים!$B$1,Oct!B36&gt;קריטריונים!$B$3),Oct!F36,"")</f>
        <v>0.2117658555653279</v>
      </c>
      <c r="L35" s="113">
        <f>IF(AND(ABS(Oct!E36)&gt;קריטריונים!$B$1,Oct!B36&gt;קריטריונים!$B$3),Oct!E36,"")</f>
        <v>0.4514807444691562</v>
      </c>
      <c r="M35" s="113">
        <f>IF(AND(ABS(Sep!K36)&gt;קריטריונים!$B$2,Sep!B36&gt;קריטריונים!$B$3),Sep!K36,"")</f>
        <v>1.4051336856062413E-3</v>
      </c>
      <c r="N35" s="113">
        <f>IF(AND(ABS(Sep!J36)&gt;קריטריונים!$B$2,Sep!B36&gt;קריטריונים!$B$3),Sep!J36,"")</f>
        <v>9.9521946979574061E-2</v>
      </c>
      <c r="O35" s="113">
        <f>IF(AND(ABS(Sep!F36)&gt;קריטריונים!$B$1,Sep!B36&gt;קריטריונים!$B$3),Sep!F36,"")</f>
        <v>-0.10202817773649164</v>
      </c>
      <c r="P35" s="113">
        <f>IF(AND(ABS(Sep!E36)&gt;קריטריונים!$B$1,Sep!B36&gt;קריטריונים!$B$3),Sep!E36,"")</f>
        <v>4.7687861271676457E-2</v>
      </c>
      <c r="Q35" s="113">
        <f>IF(AND(ABS(Aug!K36)&gt;קריטריונים!$B$2,Aug!B36&gt;קריטריונים!$B$3),Aug!K36,"")</f>
        <v>1.6564556387565377E-2</v>
      </c>
      <c r="R35" s="113">
        <f>IF(AND(ABS(Aug!J36)&gt;קריטריונים!$B$2,Aug!B36&gt;קריטריונים!$B$3),Aug!J36,"")</f>
        <v>0.10661001877284848</v>
      </c>
      <c r="S35" s="113">
        <f>IF(AND(ABS(Aug!F36)&gt;קריטריונים!$B$1,Aug!B36&gt;קריטריונים!$B$3),Aug!F36,"")</f>
        <v>-0.14421553090332795</v>
      </c>
      <c r="T35" s="113">
        <f>IF(AND(ABS(Aug!E36)&gt;קריטריונים!$B$1,Aug!B36&gt;קריטריונים!$B$3),Aug!E36,"")</f>
        <v>0.13827993254637461</v>
      </c>
      <c r="U35" s="113">
        <f>IF(AND(ABS(Jul!K36)&gt;קריטריונים!$B$2,Jul!B36&gt;קריטריונים!$B$3),Jul!K36,"")</f>
        <v>-4.4701611073292513E-2</v>
      </c>
      <c r="V35" s="113">
        <f>IF(AND(ABS(Jul!J36)&gt;קריטריונים!$B$2,Jul!B36&gt;קריטריונים!$B$3),Jul!J36,"")</f>
        <v>0.10463895885810248</v>
      </c>
      <c r="W35" s="113">
        <f>IF(AND(ABS(Jul!F36)&gt;קריטריונים!$B$1,Jul!B36&gt;קריטריונים!$B$3),Jul!F36,"")</f>
        <v>-2.5359256128486551E-3</v>
      </c>
      <c r="X35" s="113">
        <f>IF(AND(ABS(Jul!E36)&gt;קריטריונים!$B$1,Jul!B36&gt;קריטריונים!$B$3),Jul!E36,"")</f>
        <v>0.23405145367078029</v>
      </c>
      <c r="Y35" s="113">
        <f>IF(AND(ABS(Jun!K36)&gt;קריטריונים!$B$2,Jun!B36&gt;קריטריונים!$B$3),Jun!K36,"")</f>
        <v>1.8198182994402901E-2</v>
      </c>
      <c r="Z35" s="113">
        <f>IF(AND(ABS(Jun!J36)&gt;קריטריונים!$B$2,Jun!B36&gt;קריטריונים!$B$3),Jun!J36,"")</f>
        <v>8.6076025321772498E-2</v>
      </c>
      <c r="AA35" s="113">
        <f>IF(AND(ABS(Jun!F36)&gt;קריטריונים!$B$1,Jun!B36&gt;קריטריונים!$B$3),Jun!F36,"")</f>
        <v>5.9201815774541533E-2</v>
      </c>
      <c r="AB35" s="113">
        <f>IF(AND(ABS(Jun!E36)&gt;קריטריונים!$B$1,Jun!B36&gt;קריטריונים!$B$3),Jun!E36,"")</f>
        <v>0.18143459915611815</v>
      </c>
      <c r="AC35" s="113">
        <f>IF(AND(ABS(May!K36)&gt;קריטריונים!$B$2,May!B36&gt;קריטריונים!$B$3),May!K36,"")</f>
        <v>2.9852253222495184E-2</v>
      </c>
      <c r="AD35" s="113">
        <f>IF(AND(ABS(May!J36)&gt;קריטריונים!$B$2,May!B36&gt;קריטריונים!$B$3),May!J36,"")</f>
        <v>7.026686719597075E-2</v>
      </c>
      <c r="AE35" s="113">
        <f>IF(AND(ABS(May!F36)&gt;קריטריונים!$B$1,May!B36&gt;קריטריונים!$B$3),May!F36,"")</f>
        <v>-0.12335629304946782</v>
      </c>
      <c r="AF35" s="113">
        <f>IF(AND(ABS(May!E36)&gt;קריטריונים!$B$1,May!B36&gt;קריטריונים!$B$3),May!E36,"")</f>
        <v>0.12359550561797739</v>
      </c>
      <c r="AG35" s="113">
        <f>IF(AND(ABS(Apr!K36)&gt;קריטריונים!$B$2,Apr!B36&gt;קריטריונים!$B$3),Apr!K36,"")</f>
        <v>7.1811361200428747E-2</v>
      </c>
      <c r="AH35" s="113">
        <f>IF(AND(ABS(Apr!J36)&gt;קריטריונים!$B$2,Apr!B36&gt;קריטריונים!$B$3),Apr!J36,"")</f>
        <v>5.9007921379252037E-2</v>
      </c>
      <c r="AI35" s="113">
        <f>IF(AND(ABS(Apr!F36)&gt;קריטריונים!$B$1,Apr!B36&gt;קריטריונים!$B$3),Apr!F36,"")</f>
        <v>0.1049723756906078</v>
      </c>
      <c r="AJ35" s="113">
        <f>IF(AND(ABS(Apr!E36)&gt;קריטריונים!$B$1,Apr!B36&gt;קריטריונים!$B$3),Apr!E36,"")</f>
        <v>0.42614601018675735</v>
      </c>
      <c r="AK35" s="113">
        <f>IF(AND(ABS(Mar!K36)&gt;קריטריונים!$B$2,Mar!B36&gt;קריטריונים!$B$3),Mar!K36,"")</f>
        <v>5.5778159384341386E-2</v>
      </c>
      <c r="AL35" s="113">
        <f>IF(AND(ABS(Mar!J36)&gt;קריטריונים!$B$2,Mar!B36&gt;קריטריונים!$B$3),Mar!J36,"")</f>
        <v>-6.3046791217474807E-2</v>
      </c>
      <c r="AM35" s="113">
        <f>IF(AND(ABS(Mar!F36)&gt;קריטריונים!$B$1,Mar!B36&gt;קריטריונים!$B$3),Mar!F36,"")</f>
        <v>-9.5136357923840564E-2</v>
      </c>
      <c r="AN35" s="113">
        <f>IF(AND(ABS(Mar!E36)&gt;קריטריונים!$B$1,Mar!B36&gt;קריטריונים!$B$3),Mar!E36,"")</f>
        <v>-0.1910112359550562</v>
      </c>
      <c r="AO35" s="113">
        <f>IF(AND(ABS(Feb!K36)&gt;קריטריונים!$B$2,Feb!B36&gt;קריטריונים!$B$3),Feb!K36,"")</f>
        <v>0.2104043265516351</v>
      </c>
      <c r="AP35" s="113">
        <f>IF(AND(ABS(Feb!J36)&gt;קריטריונים!$B$2,Feb!B36&gt;קריטריונים!$B$3),Feb!J36,"")</f>
        <v>6.6122263808551462E-2</v>
      </c>
      <c r="AQ35" s="113">
        <f>IF(AND(ABS(Feb!F36)&gt;קריטריונים!$B$1,Feb!B36&gt;קריטריונים!$B$3),Feb!F36,"")</f>
        <v>0.15440115440115432</v>
      </c>
      <c r="AR35" s="113">
        <f>IF(AND(ABS(Feb!G36)&gt;קריטריונים!$B$1,Feb!C36&gt;קריטריונים!$B$3),Feb!G36,"")</f>
        <v>9.3999999999999986</v>
      </c>
      <c r="AS35" s="113">
        <f>IF(AND(ABS(Feb!H36)&gt;קריטריונים!$B$1,Feb!D36&gt;קריטריונים!$B$3),Feb!H36,"")</f>
        <v>8.8170000000000002</v>
      </c>
      <c r="AT35" s="103">
        <f>IF(AND(ABS(Jan!E36)&gt;קריטריונים!$B$1,Jan!B36&gt;קריטריונים!$B$3),Jan!E36,"")</f>
        <v>5.0304035378662126E-2</v>
      </c>
      <c r="AU35" s="118" t="s">
        <v>27</v>
      </c>
    </row>
    <row r="36" spans="1:47">
      <c r="A36" s="112" t="str">
        <f>IF(AND(ABS(Dec!K37)&gt;קריטריונים!$B$2,Dec!B37&gt;קריטריונים!$B$3),Dec!K37,"")</f>
        <v/>
      </c>
      <c r="B36" s="113" t="str">
        <f>IF(AND(ABS(Dec!J37)&gt;קריטריונים!$B$2,Dec!B37&gt;קריטריונים!$B$3),Dec!J37,"")</f>
        <v/>
      </c>
      <c r="C36" s="113" t="str">
        <f>IF(AND(ABS(Dec!F37)&gt;קריטריונים!$B$1,Dec!B37&gt;קריטריונים!$B$3),Dec!F37,"")</f>
        <v/>
      </c>
      <c r="D36" s="113" t="str">
        <f>IF(AND(ABS(Dec!E37)&gt;קריטריונים!$B$1,Dec!B37&gt;קריטריונים!$B$3),Dec!E37,"")</f>
        <v/>
      </c>
      <c r="E36" s="113">
        <f>IF(AND(ABS(Nov!K37)&gt;קריטריונים!$B$2,Nov!B37&gt;קריטריונים!$B$3),Nov!K37,"")</f>
        <v>0.23868927347799374</v>
      </c>
      <c r="F36" s="113">
        <f>IF(AND(ABS(Nov!J37)&gt;קריטריונים!$B$2,Nov!B37&gt;קריטריונים!$B$3),Nov!J37,"")</f>
        <v>0.12944569048381949</v>
      </c>
      <c r="G36" s="113">
        <f>IF(AND(ABS(Nov!F37)&gt;קריטריונים!$B$1,Nov!B37&gt;קריטריונים!$B$3),Nov!F37,"")</f>
        <v>0.29032258064516125</v>
      </c>
      <c r="H36" s="113">
        <f>IF(AND(ABS(Nov!E37)&gt;קריטריונים!$B$1,Nov!B37&gt;קריטריונים!$B$3),Nov!E37,"")</f>
        <v>-4.7114875595553163E-2</v>
      </c>
      <c r="I36" s="113">
        <f>IF(AND(ABS(Oct!K37)&gt;קריטריונים!$B$2,Oct!B37&gt;קריטריונים!$B$3),Oct!K37,"")</f>
        <v>0.2314777733279938</v>
      </c>
      <c r="J36" s="113">
        <f>IF(AND(ABS(Oct!J37)&gt;קריטריונים!$B$2,Oct!B37&gt;קריטריונים!$B$3),Oct!J37,"")</f>
        <v>0.1609249646059463</v>
      </c>
      <c r="K36" s="113">
        <f>IF(AND(ABS(Oct!F37)&gt;קריטריונים!$B$1,Oct!B37&gt;קריטריונים!$B$3),Oct!F37,"")</f>
        <v>0.10943015632879471</v>
      </c>
      <c r="L36" s="113">
        <f>IF(AND(ABS(Oct!E37)&gt;קריטריונים!$B$1,Oct!B37&gt;קריטריונים!$B$3),Oct!E37,"")</f>
        <v>0.44546649145860728</v>
      </c>
      <c r="M36" s="113" t="str">
        <f>IF(AND(ABS(Sep!K37)&gt;קריטריונים!$B$2,Sep!B37&gt;קריטריונים!$B$3),Sep!K37,"")</f>
        <v/>
      </c>
      <c r="N36" s="113" t="str">
        <f>IF(AND(ABS(Sep!J37)&gt;קריטריונים!$B$2,Sep!B37&gt;קריטריונים!$B$3),Sep!J37,"")</f>
        <v/>
      </c>
      <c r="O36" s="113" t="str">
        <f>IF(AND(ABS(Sep!F37)&gt;קריטריונים!$B$1,Sep!B37&gt;קריטריונים!$B$3),Sep!F37,"")</f>
        <v/>
      </c>
      <c r="P36" s="113" t="str">
        <f>IF(AND(ABS(Sep!E37)&gt;קריטריונים!$B$1,Sep!B37&gt;קריטריונים!$B$3),Sep!E37,"")</f>
        <v/>
      </c>
      <c r="Q36" s="113" t="str">
        <f>IF(AND(ABS(Aug!K37)&gt;קריטריונים!$B$2,Aug!B37&gt;קריטריונים!$B$3),Aug!K37,"")</f>
        <v/>
      </c>
      <c r="R36" s="113" t="str">
        <f>IF(AND(ABS(Aug!J37)&gt;קריטריונים!$B$2,Aug!B37&gt;קריטריונים!$B$3),Aug!J37,"")</f>
        <v/>
      </c>
      <c r="S36" s="113" t="str">
        <f>IF(AND(ABS(Aug!F37)&gt;קריטריונים!$B$1,Aug!B37&gt;קריטריונים!$B$3),Aug!F37,"")</f>
        <v/>
      </c>
      <c r="T36" s="113" t="str">
        <f>IF(AND(ABS(Aug!E37)&gt;קריטריונים!$B$1,Aug!B37&gt;קריטריונים!$B$3),Aug!E37,"")</f>
        <v/>
      </c>
      <c r="U36" s="113" t="str">
        <f>IF(AND(ABS(Jul!K37)&gt;קריטריונים!$B$2,Jul!B37&gt;קריטריונים!$B$3),Jul!K37,"")</f>
        <v/>
      </c>
      <c r="V36" s="113" t="str">
        <f>IF(AND(ABS(Jul!J37)&gt;קריטריונים!$B$2,Jul!B37&gt;קריטריונים!$B$3),Jul!J37,"")</f>
        <v/>
      </c>
      <c r="W36" s="113" t="str">
        <f>IF(AND(ABS(Jul!F37)&gt;קריטריונים!$B$1,Jul!B37&gt;קריטריונים!$B$3),Jul!F37,"")</f>
        <v/>
      </c>
      <c r="X36" s="113" t="str">
        <f>IF(AND(ABS(Jul!E37)&gt;קריטריונים!$B$1,Jul!B37&gt;קריטריונים!$B$3),Jul!E37,"")</f>
        <v/>
      </c>
      <c r="Y36" s="113" t="str">
        <f>IF(AND(ABS(Jun!K37)&gt;קריטריונים!$B$2,Jun!B37&gt;קריטריונים!$B$3),Jun!K37,"")</f>
        <v/>
      </c>
      <c r="Z36" s="113" t="str">
        <f>IF(AND(ABS(Jun!J37)&gt;קריטריונים!$B$2,Jun!B37&gt;קריטריונים!$B$3),Jun!J37,"")</f>
        <v/>
      </c>
      <c r="AA36" s="113" t="str">
        <f>IF(AND(ABS(Jun!F37)&gt;קריטריונים!$B$1,Jun!B37&gt;קריטריונים!$B$3),Jun!F37,"")</f>
        <v/>
      </c>
      <c r="AB36" s="113" t="str">
        <f>IF(AND(ABS(Jun!E37)&gt;קריטריונים!$B$1,Jun!B37&gt;קריטריונים!$B$3),Jun!E37,"")</f>
        <v/>
      </c>
      <c r="AC36" s="113" t="str">
        <f>IF(AND(ABS(May!K37)&gt;קריטריונים!$B$2,May!B37&gt;קריטריונים!$B$3),May!K37,"")</f>
        <v/>
      </c>
      <c r="AD36" s="113" t="str">
        <f>IF(AND(ABS(May!J37)&gt;קריטריונים!$B$2,May!B37&gt;קריטריונים!$B$3),May!J37,"")</f>
        <v/>
      </c>
      <c r="AE36" s="113" t="str">
        <f>IF(AND(ABS(May!F37)&gt;קריטריונים!$B$1,May!B37&gt;קריטריונים!$B$3),May!F37,"")</f>
        <v/>
      </c>
      <c r="AF36" s="113" t="str">
        <f>IF(AND(ABS(May!E37)&gt;קריטריונים!$B$1,May!B37&gt;קריטריונים!$B$3),May!E37,"")</f>
        <v/>
      </c>
      <c r="AG36" s="113">
        <f>IF(AND(ABS(Apr!K37)&gt;קריטריונים!$B$2,Apr!B37&gt;קריטריונים!$B$3),Apr!K37,"")</f>
        <v>0.43723332584774344</v>
      </c>
      <c r="AH36" s="113">
        <f>IF(AND(ABS(Apr!J37)&gt;קריטריונים!$B$2,Apr!B37&gt;קריטריונים!$B$3),Apr!J37,"")</f>
        <v>0.10726643598615926</v>
      </c>
      <c r="AI36" s="113">
        <f>IF(AND(ABS(Apr!F37)&gt;קריטריונים!$B$1,Apr!B37&gt;קריטריונים!$B$3),Apr!F37,"")</f>
        <v>0.23188405797101463</v>
      </c>
      <c r="AJ36" s="113">
        <f>IF(AND(ABS(Apr!E37)&gt;קריטריונים!$B$1,Apr!B37&gt;קריטריונים!$B$3),Apr!E37,"")</f>
        <v>0.35350318471337583</v>
      </c>
      <c r="AK36" s="113">
        <f>IF(AND(ABS(Mar!K37)&gt;קריטריונים!$B$2,Mar!B37&gt;קריטריונים!$B$3),Mar!K37,"")</f>
        <v>0.52945004881223579</v>
      </c>
      <c r="AL36" s="113">
        <f>IF(AND(ABS(Mar!J37)&gt;קריטריונים!$B$2,Mar!B37&gt;קריטריונים!$B$3),Mar!J37,"")</f>
        <v>3.89036251105217E-2</v>
      </c>
      <c r="AM36" s="113">
        <f>IF(AND(ABS(Mar!F37)&gt;קריטריונים!$B$1,Mar!B37&gt;קריטריונים!$B$3),Mar!F37,"")</f>
        <v>0.13122171945701355</v>
      </c>
      <c r="AN36" s="113">
        <f>IF(AND(ABS(Mar!E37)&gt;קריטריונים!$B$1,Mar!B37&gt;קריטריונים!$B$3),Mar!E37,"")</f>
        <v>-0.12049252418645562</v>
      </c>
      <c r="AO36" s="113">
        <f>IF(AND(ABS(Feb!K37)&gt;קריטריונים!$B$2,Feb!B37&gt;קריטריונים!$B$3),Feb!K37,"")</f>
        <v>1.0689655172413794</v>
      </c>
      <c r="AP36" s="113">
        <f>IF(AND(ABS(Feb!J37)&gt;קריטריונים!$B$2,Feb!B37&gt;קריטריונים!$B$3),Feb!J37,"")</f>
        <v>0.20000000000000018</v>
      </c>
      <c r="AQ36" s="113">
        <f>IF(AND(ABS(Feb!F37)&gt;קריטריונים!$B$1,Feb!B37&gt;קריטריונים!$B$3),Feb!F37,"")</f>
        <v>0.79977502812148482</v>
      </c>
      <c r="AR36" s="113" t="str">
        <f>IF(AND(ABS(Feb!G37)&gt;קריטריונים!$B$1,Feb!C37&gt;קריטריונים!$B$3),Feb!G37,"")</f>
        <v/>
      </c>
      <c r="AS36" s="113" t="str">
        <f>IF(AND(ABS(Feb!H37)&gt;קריטריונים!$B$1,Feb!D37&gt;קריטריונים!$B$3),Feb!H37,"")</f>
        <v/>
      </c>
      <c r="AT36" s="103" t="str">
        <f>IF(AND(ABS(Jan!E37)&gt;קריטריונים!$B$1,Jan!B37&gt;קריטריונים!$B$3),Jan!E37,"")</f>
        <v/>
      </c>
      <c r="AU36" s="118" t="s">
        <v>28</v>
      </c>
    </row>
    <row r="37" spans="1:47">
      <c r="A37" s="112" t="str">
        <f>IF(AND(ABS(Dec!K38)&gt;קריטריונים!$B$2,Dec!B38&gt;קריטריונים!$B$3),Dec!K38,"")</f>
        <v/>
      </c>
      <c r="B37" s="113" t="str">
        <f>IF(AND(ABS(Dec!J38)&gt;קריטריונים!$B$2,Dec!B38&gt;קריטריונים!$B$3),Dec!J38,"")</f>
        <v/>
      </c>
      <c r="C37" s="113" t="str">
        <f>IF(AND(ABS(Dec!F38)&gt;קריטריונים!$B$1,Dec!B38&gt;קריטריונים!$B$3),Dec!F38,"")</f>
        <v/>
      </c>
      <c r="D37" s="113" t="str">
        <f>IF(AND(ABS(Dec!E38)&gt;קריטריונים!$B$1,Dec!B38&gt;קריטריונים!$B$3),Dec!E38,"")</f>
        <v/>
      </c>
      <c r="E37" s="113">
        <f>IF(AND(ABS(Nov!K38)&gt;קריטריונים!$B$2,Nov!B38&gt;קריטריונים!$B$3),Nov!K38,"")</f>
        <v>0.11786363837998493</v>
      </c>
      <c r="F37" s="113">
        <f>IF(AND(ABS(Nov!J38)&gt;קריטריונים!$B$2,Nov!B38&gt;קריטריונים!$B$3),Nov!J38,"")</f>
        <v>0.27756653992395419</v>
      </c>
      <c r="G37" s="113">
        <f>IF(AND(ABS(Nov!F38)&gt;קריטריונים!$B$1,Nov!B38&gt;קריטריונים!$B$3),Nov!F38,"")</f>
        <v>0.83038438071995113</v>
      </c>
      <c r="H37" s="113">
        <f>IF(AND(ABS(Nov!E38)&gt;קריטריונים!$B$1,Nov!B38&gt;קריטריונים!$B$3),Nov!E38,"")</f>
        <v>0.47130946542422736</v>
      </c>
      <c r="I37" s="113">
        <f>IF(AND(ABS(Oct!K38)&gt;קריטריונים!$B$2,Oct!B38&gt;קריטריונים!$B$3),Oct!K38,"")</f>
        <v>6.1997703788748471E-2</v>
      </c>
      <c r="J37" s="113">
        <f>IF(AND(ABS(Oct!J38)&gt;קריטריונים!$B$2,Oct!B38&gt;קריטריונים!$B$3),Oct!J38,"")</f>
        <v>0.2552301255230125</v>
      </c>
      <c r="K37" s="113">
        <f>IF(AND(ABS(Oct!F38)&gt;קריטריונים!$B$1,Oct!B38&gt;קריטריונים!$B$3),Oct!F38,"")</f>
        <v>0.31337813072693943</v>
      </c>
      <c r="L37" s="113">
        <f>IF(AND(ABS(Oct!E38)&gt;קריטריונים!$B$1,Oct!B38&gt;קריטריונים!$B$3),Oct!E38,"")</f>
        <v>0.85584807941303387</v>
      </c>
      <c r="M37" s="113">
        <f>IF(AND(ABS(Sep!K38)&gt;קריטריונים!$B$2,Sep!B38&gt;קריטריונים!$B$3),Sep!K38,"")</f>
        <v>1.5314804310833763E-2</v>
      </c>
      <c r="N37" s="113">
        <f>IF(AND(ABS(Sep!J38)&gt;קריטריונים!$B$2,Sep!B38&gt;קריטריונים!$B$3),Sep!J38,"")</f>
        <v>0.16468215238467043</v>
      </c>
      <c r="O37" s="113">
        <f>IF(AND(ABS(Sep!F38)&gt;קריטריונים!$B$1,Sep!B38&gt;קריטריונים!$B$3),Sep!F38,"")</f>
        <v>-2.0088192062714283E-2</v>
      </c>
      <c r="P37" s="113">
        <f>IF(AND(ABS(Sep!E38)&gt;קריטריונים!$B$1,Sep!B38&gt;קריטריונים!$B$3),Sep!E38,"")</f>
        <v>-8.4283589489340116E-3</v>
      </c>
      <c r="Q37" s="113" t="str">
        <f>IF(AND(ABS(Aug!K38)&gt;קריטריונים!$B$2,Aug!B38&gt;קריטריונים!$B$3),Aug!K38,"")</f>
        <v/>
      </c>
      <c r="R37" s="113" t="str">
        <f>IF(AND(ABS(Aug!J38)&gt;קריטריונים!$B$2,Aug!B38&gt;קריטריונים!$B$3),Aug!J38,"")</f>
        <v/>
      </c>
      <c r="S37" s="113" t="str">
        <f>IF(AND(ABS(Aug!F38)&gt;קריטריונים!$B$1,Aug!B38&gt;קריטריונים!$B$3),Aug!F38,"")</f>
        <v/>
      </c>
      <c r="T37" s="113" t="str">
        <f>IF(AND(ABS(Aug!E38)&gt;קריטריונים!$B$1,Aug!B38&gt;קריטריונים!$B$3),Aug!E38,"")</f>
        <v/>
      </c>
      <c r="U37" s="113">
        <f>IF(AND(ABS(Jul!K38)&gt;קריטריונים!$B$2,Jul!B38&gt;קריטריונים!$B$3),Jul!K38,"")</f>
        <v>-5.0612611456796408E-2</v>
      </c>
      <c r="V37" s="113">
        <f>IF(AND(ABS(Jul!J38)&gt;קריטריונים!$B$2,Jul!B38&gt;קריטריונים!$B$3),Jul!J38,"")</f>
        <v>0.19133864605972817</v>
      </c>
      <c r="W37" s="113">
        <f>IF(AND(ABS(Jul!F38)&gt;קריטריונים!$B$1,Jul!B38&gt;קריטריונים!$B$3),Jul!F38,"")</f>
        <v>0.11561866125760667</v>
      </c>
      <c r="X37" s="113">
        <f>IF(AND(ABS(Jul!E38)&gt;קריטריונים!$B$1,Jul!B38&gt;קריטריונים!$B$3),Jul!E38,"")</f>
        <v>0.30718954248366015</v>
      </c>
      <c r="Y37" s="113">
        <f>IF(AND(ABS(Jun!K38)&gt;קריטריונים!$B$2,Jun!B38&gt;קריטריונים!$B$3),Jun!K38,"")</f>
        <v>-7.9358781049032601E-5</v>
      </c>
      <c r="Z37" s="113">
        <f>IF(AND(ABS(Jun!J38)&gt;קריטריונים!$B$2,Jun!B38&gt;קריטריונים!$B$3),Jun!J38,"")</f>
        <v>0.17318435754189965</v>
      </c>
      <c r="AA37" s="113">
        <f>IF(AND(ABS(Jun!F38)&gt;קריטריונים!$B$1,Jun!B38&gt;קריטריונים!$B$3),Jun!F38,"")</f>
        <v>9.6804959465903506E-2</v>
      </c>
      <c r="AB37" s="113">
        <f>IF(AND(ABS(Jun!E38)&gt;קריטריונים!$B$1,Jun!B38&gt;קריטריונים!$B$3),Jun!E38,"")</f>
        <v>0.24257158292814696</v>
      </c>
      <c r="AC37" s="113">
        <f>IF(AND(ABS(May!K38)&gt;קריטריונים!$B$2,May!B38&gt;קריטריונים!$B$3),May!K38,"")</f>
        <v>-1.4541929229276995E-3</v>
      </c>
      <c r="AD37" s="113">
        <f>IF(AND(ABS(May!J38)&gt;קריטריונים!$B$2,May!B38&gt;קריטריונים!$B$3),May!J38,"")</f>
        <v>0.15873551580605261</v>
      </c>
      <c r="AE37" s="113">
        <f>IF(AND(ABS(May!F38)&gt;קריטריונים!$B$1,May!B38&gt;קריטריונים!$B$3),May!F38,"")</f>
        <v>-1.1124845488257207E-2</v>
      </c>
      <c r="AF37" s="113">
        <f>IF(AND(ABS(May!E38)&gt;קריטריונים!$B$1,May!B38&gt;קריטריונים!$B$3),May!E38,"")</f>
        <v>0.17130307467057104</v>
      </c>
      <c r="AG37" s="113">
        <f>IF(AND(ABS(Apr!K38)&gt;קריטריונים!$B$2,Apr!B38&gt;קריטריונים!$B$3),Apr!K38,"")</f>
        <v>1.5212981744423537E-3</v>
      </c>
      <c r="AH37" s="113">
        <f>IF(AND(ABS(Apr!J38)&gt;קריטריונים!$B$2,Apr!B38&gt;קריטריונים!$B$3),Apr!J38,"")</f>
        <v>0.15497076023391831</v>
      </c>
      <c r="AI37" s="113">
        <f>IF(AND(ABS(Apr!F38)&gt;קריטריונים!$B$1,Apr!B38&gt;קריטריונים!$B$3),Apr!F38,"")</f>
        <v>-4.3062200956937691E-2</v>
      </c>
      <c r="AJ37" s="113">
        <f>IF(AND(ABS(Apr!E38)&gt;קריטריונים!$B$1,Apr!B38&gt;קריטריונים!$B$3),Apr!E38,"")</f>
        <v>0.3961605584642236</v>
      </c>
      <c r="AK37" s="113">
        <f>IF(AND(ABS(Mar!K38)&gt;קריטריונים!$B$2,Mar!B38&gt;קריטריונים!$B$3),Mar!K38,"")</f>
        <v>3.4330985915492995E-2</v>
      </c>
      <c r="AL37" s="113">
        <f>IF(AND(ABS(Mar!J38)&gt;קריטריונים!$B$2,Mar!B38&gt;קריטריונים!$B$3),Mar!J38,"")</f>
        <v>3.3421284080914715E-2</v>
      </c>
      <c r="AM37" s="113">
        <f>IF(AND(ABS(Mar!F38)&gt;קריטריונים!$B$1,Mar!B38&gt;קריטריונים!$B$3),Mar!F38,"")</f>
        <v>8.5832471561530621E-2</v>
      </c>
      <c r="AN37" s="113">
        <f>IF(AND(ABS(Mar!E38)&gt;קריטריונים!$B$1,Mar!B38&gt;קריטריונים!$B$3),Mar!E38,"")</f>
        <v>-0.10865874363327666</v>
      </c>
      <c r="AO37" s="113" t="str">
        <f>IF(AND(ABS(Feb!K38)&gt;קריטריונים!$B$2,Feb!B38&gt;קריטריונים!$B$3),Feb!K38,"")</f>
        <v/>
      </c>
      <c r="AP37" s="113" t="str">
        <f>IF(AND(ABS(Feb!J38)&gt;קריטריונים!$B$2,Feb!B38&gt;קריטריונים!$B$3),Feb!J38,"")</f>
        <v/>
      </c>
      <c r="AQ37" s="113" t="str">
        <f>IF(AND(ABS(Feb!F38)&gt;קריטריונים!$B$1,Feb!B38&gt;קריטריונים!$B$3),Feb!F38,"")</f>
        <v/>
      </c>
      <c r="AR37" s="113" t="str">
        <f>IF(AND(ABS(Feb!G38)&gt;קריטריונים!$B$1,Feb!C38&gt;קריטריונים!$B$3),Feb!G38,"")</f>
        <v/>
      </c>
      <c r="AS37" s="113">
        <f>IF(AND(ABS(Feb!H38)&gt;קריטריונים!$B$1,Feb!D38&gt;קריטריונים!$B$3),Feb!H38,"")</f>
        <v>2.1920000000000002</v>
      </c>
      <c r="AT37" s="103" t="str">
        <f>IF(AND(ABS(Jan!E38)&gt;קריטריונים!$B$1,Jan!B38&gt;קריטריונים!$B$3),Jan!E38,"")</f>
        <v/>
      </c>
      <c r="AU37" s="118" t="s">
        <v>29</v>
      </c>
    </row>
    <row r="38" spans="1:47">
      <c r="A38" s="112" t="str">
        <f>IF(AND(ABS(Dec!K39)&gt;קריטריונים!$B$2,Dec!B39&gt;קריטריונים!$B$3),Dec!K39,"")</f>
        <v/>
      </c>
      <c r="B38" s="113" t="str">
        <f>IF(AND(ABS(Dec!J39)&gt;קריטריונים!$B$2,Dec!B39&gt;קריטריונים!$B$3),Dec!J39,"")</f>
        <v/>
      </c>
      <c r="C38" s="113" t="str">
        <f>IF(AND(ABS(Dec!F39)&gt;קריטריונים!$B$1,Dec!B39&gt;קריטריונים!$B$3),Dec!F39,"")</f>
        <v/>
      </c>
      <c r="D38" s="113" t="str">
        <f>IF(AND(ABS(Dec!E39)&gt;קריטריונים!$B$1,Dec!B39&gt;קריטריונים!$B$3),Dec!E39,"")</f>
        <v/>
      </c>
      <c r="E38" s="113" t="str">
        <f>IF(AND(ABS(Nov!K39)&gt;קריטריונים!$B$2,Nov!B39&gt;קריטריונים!$B$3),Nov!K39,"")</f>
        <v/>
      </c>
      <c r="F38" s="113" t="str">
        <f>IF(AND(ABS(Nov!J39)&gt;קריטריונים!$B$2,Nov!B39&gt;קריטריונים!$B$3),Nov!J39,"")</f>
        <v/>
      </c>
      <c r="G38" s="113" t="str">
        <f>IF(AND(ABS(Nov!F39)&gt;קריטריונים!$B$1,Nov!B39&gt;קריטריונים!$B$3),Nov!F39,"")</f>
        <v/>
      </c>
      <c r="H38" s="113" t="str">
        <f>IF(AND(ABS(Nov!E39)&gt;קריטריונים!$B$1,Nov!B39&gt;קריטריונים!$B$3),Nov!E39,"")</f>
        <v/>
      </c>
      <c r="I38" s="113">
        <f>IF(AND(ABS(Oct!K39)&gt;קריטריונים!$B$2,Oct!B39&gt;קריטריונים!$B$3),Oct!K39,"")</f>
        <v>-3.5447311309380281E-2</v>
      </c>
      <c r="J38" s="113">
        <f>IF(AND(ABS(Oct!J39)&gt;קריטריונים!$B$2,Oct!B39&gt;קריטריונים!$B$3),Oct!J39,"")</f>
        <v>8.7449025826914273E-2</v>
      </c>
      <c r="K38" s="113">
        <f>IF(AND(ABS(Oct!F39)&gt;קריטריונים!$B$1,Oct!B39&gt;קריטריונים!$B$3),Oct!F39,"")</f>
        <v>0.19047619047619047</v>
      </c>
      <c r="L38" s="113">
        <f>IF(AND(ABS(Oct!E39)&gt;קריטריונים!$B$1,Oct!B39&gt;קריטריונים!$B$3),Oct!E39,"")</f>
        <v>0.13039967702866373</v>
      </c>
      <c r="M38" s="113" t="str">
        <f>IF(AND(ABS(Sep!K39)&gt;קריטריונים!$B$2,Sep!B39&gt;קריטריונים!$B$3),Sep!K39,"")</f>
        <v/>
      </c>
      <c r="N38" s="113" t="str">
        <f>IF(AND(ABS(Sep!J39)&gt;קריטריונים!$B$2,Sep!B39&gt;קריטריונים!$B$3),Sep!J39,"")</f>
        <v/>
      </c>
      <c r="O38" s="113" t="str">
        <f>IF(AND(ABS(Sep!F39)&gt;קריטריונים!$B$1,Sep!B39&gt;קריטריונים!$B$3),Sep!F39,"")</f>
        <v/>
      </c>
      <c r="P38" s="113" t="str">
        <f>IF(AND(ABS(Sep!E39)&gt;קריטריונים!$B$1,Sep!B39&gt;קריטריונים!$B$3),Sep!E39,"")</f>
        <v/>
      </c>
      <c r="Q38" s="113" t="str">
        <f>IF(AND(ABS(Aug!K39)&gt;קריטריונים!$B$2,Aug!B39&gt;קריטריונים!$B$3),Aug!K39,"")</f>
        <v/>
      </c>
      <c r="R38" s="113" t="str">
        <f>IF(AND(ABS(Aug!J39)&gt;קריטריונים!$B$2,Aug!B39&gt;קריטריונים!$B$3),Aug!J39,"")</f>
        <v/>
      </c>
      <c r="S38" s="113" t="str">
        <f>IF(AND(ABS(Aug!F39)&gt;קריטריונים!$B$1,Aug!B39&gt;קריטריונים!$B$3),Aug!F39,"")</f>
        <v/>
      </c>
      <c r="T38" s="113" t="str">
        <f>IF(AND(ABS(Aug!E39)&gt;קריטריונים!$B$1,Aug!B39&gt;קריטריונים!$B$3),Aug!E39,"")</f>
        <v/>
      </c>
      <c r="U38" s="113" t="str">
        <f>IF(AND(ABS(Jul!K39)&gt;קריטריונים!$B$2,Jul!B39&gt;קריטריונים!$B$3),Jul!K39,"")</f>
        <v/>
      </c>
      <c r="V38" s="113" t="str">
        <f>IF(AND(ABS(Jul!J39)&gt;קריטריונים!$B$2,Jul!B39&gt;קריטריונים!$B$3),Jul!J39,"")</f>
        <v/>
      </c>
      <c r="W38" s="113" t="str">
        <f>IF(AND(ABS(Jul!F39)&gt;קריטריונים!$B$1,Jul!B39&gt;קריטריונים!$B$3),Jul!F39,"")</f>
        <v/>
      </c>
      <c r="X38" s="113" t="str">
        <f>IF(AND(ABS(Jul!E39)&gt;קריטריונים!$B$1,Jul!B39&gt;קריטריונים!$B$3),Jul!E39,"")</f>
        <v/>
      </c>
      <c r="Y38" s="113" t="str">
        <f>IF(AND(ABS(Jun!K39)&gt;קריטריונים!$B$2,Jun!B39&gt;קריטריונים!$B$3),Jun!K39,"")</f>
        <v/>
      </c>
      <c r="Z38" s="113" t="str">
        <f>IF(AND(ABS(Jun!J39)&gt;קריטריונים!$B$2,Jun!B39&gt;קריטריונים!$B$3),Jun!J39,"")</f>
        <v/>
      </c>
      <c r="AA38" s="113" t="str">
        <f>IF(AND(ABS(Jun!F39)&gt;קריטריונים!$B$1,Jun!B39&gt;קריטריונים!$B$3),Jun!F39,"")</f>
        <v/>
      </c>
      <c r="AB38" s="113" t="str">
        <f>IF(AND(ABS(Jun!E39)&gt;קריטריונים!$B$1,Jun!B39&gt;קריטריונים!$B$3),Jun!E39,"")</f>
        <v/>
      </c>
      <c r="AC38" s="113" t="str">
        <f>IF(AND(ABS(May!K39)&gt;קריטריונים!$B$2,May!B39&gt;קריטריונים!$B$3),May!K39,"")</f>
        <v/>
      </c>
      <c r="AD38" s="113" t="str">
        <f>IF(AND(ABS(May!J39)&gt;קריטריונים!$B$2,May!B39&gt;קריטריונים!$B$3),May!J39,"")</f>
        <v/>
      </c>
      <c r="AE38" s="113" t="str">
        <f>IF(AND(ABS(May!F39)&gt;קריטריונים!$B$1,May!B39&gt;קריטריונים!$B$3),May!F39,"")</f>
        <v/>
      </c>
      <c r="AF38" s="113" t="str">
        <f>IF(AND(ABS(May!E39)&gt;קריטריונים!$B$1,May!B39&gt;קריטריונים!$B$3),May!E39,"")</f>
        <v/>
      </c>
      <c r="AG38" s="113" t="str">
        <f>IF(AND(ABS(Apr!K39)&gt;קריטריונים!$B$2,Apr!B39&gt;קריטריונים!$B$3),Apr!K39,"")</f>
        <v/>
      </c>
      <c r="AH38" s="113" t="str">
        <f>IF(AND(ABS(Apr!J39)&gt;קריטריונים!$B$2,Apr!B39&gt;קריטריונים!$B$3),Apr!J39,"")</f>
        <v/>
      </c>
      <c r="AI38" s="113" t="str">
        <f>IF(AND(ABS(Apr!F39)&gt;קריטריונים!$B$1,Apr!B39&gt;קריטריונים!$B$3),Apr!F39,"")</f>
        <v/>
      </c>
      <c r="AJ38" s="113" t="str">
        <f>IF(AND(ABS(Apr!E39)&gt;קריטריונים!$B$1,Apr!B39&gt;קריטריונים!$B$3),Apr!E39,"")</f>
        <v/>
      </c>
      <c r="AK38" s="113" t="str">
        <f>IF(AND(ABS(Mar!K39)&gt;קריטריונים!$B$2,Mar!B39&gt;קריטריונים!$B$3),Mar!K39,"")</f>
        <v/>
      </c>
      <c r="AL38" s="113" t="str">
        <f>IF(AND(ABS(Mar!J39)&gt;קריטריונים!$B$2,Mar!B39&gt;קריטריונים!$B$3),Mar!J39,"")</f>
        <v/>
      </c>
      <c r="AM38" s="113" t="str">
        <f>IF(AND(ABS(Mar!F39)&gt;קריטריונים!$B$1,Mar!B39&gt;קריטריונים!$B$3),Mar!F39,"")</f>
        <v/>
      </c>
      <c r="AN38" s="113" t="str">
        <f>IF(AND(ABS(Mar!E39)&gt;קריטריונים!$B$1,Mar!B39&gt;קריטריונים!$B$3),Mar!E39,"")</f>
        <v/>
      </c>
      <c r="AO38" s="113" t="str">
        <f>IF(AND(ABS(Feb!K39)&gt;קריטריונים!$B$2,Feb!B39&gt;קריטריונים!$B$3),Feb!K39,"")</f>
        <v/>
      </c>
      <c r="AP38" s="113" t="str">
        <f>IF(AND(ABS(Feb!J39)&gt;קריטריונים!$B$2,Feb!B39&gt;קריטריונים!$B$3),Feb!J39,"")</f>
        <v/>
      </c>
      <c r="AQ38" s="113" t="str">
        <f>IF(AND(ABS(Feb!F39)&gt;קריטריונים!$B$1,Feb!B39&gt;קריטריונים!$B$3),Feb!F39,"")</f>
        <v/>
      </c>
      <c r="AR38" s="113" t="str">
        <f>IF(AND(ABS(Feb!G39)&gt;קריטריונים!$B$1,Feb!C39&gt;קריטריונים!$B$3),Feb!G39,"")</f>
        <v/>
      </c>
      <c r="AS38" s="113" t="str">
        <f>IF(AND(ABS(Feb!H39)&gt;קריטריונים!$B$1,Feb!D39&gt;קריטריונים!$B$3),Feb!H39,"")</f>
        <v/>
      </c>
      <c r="AT38" s="103" t="str">
        <f>IF(AND(ABS(Jan!E39)&gt;קריטריונים!$B$1,Jan!B39&gt;קריטריונים!$B$3),Jan!E39,"")</f>
        <v/>
      </c>
      <c r="AU38" s="118" t="s">
        <v>30</v>
      </c>
    </row>
    <row r="39" spans="1:47">
      <c r="A39" s="112" t="str">
        <f>IF(AND(ABS(Dec!K40)&gt;קריטריונים!$B$2,Dec!B40&gt;קריטריונים!$B$3),Dec!K40,"")</f>
        <v/>
      </c>
      <c r="B39" s="113" t="str">
        <f>IF(AND(ABS(Dec!J40)&gt;קריטריונים!$B$2,Dec!B40&gt;קריטריונים!$B$3),Dec!J40,"")</f>
        <v/>
      </c>
      <c r="C39" s="113" t="str">
        <f>IF(AND(ABS(Dec!F40)&gt;קריטריונים!$B$1,Dec!B40&gt;קריטריונים!$B$3),Dec!F40,"")</f>
        <v/>
      </c>
      <c r="D39" s="113" t="str">
        <f>IF(AND(ABS(Dec!E40)&gt;קריטריונים!$B$1,Dec!B40&gt;קריטריונים!$B$3),Dec!E40,"")</f>
        <v/>
      </c>
      <c r="E39" s="113">
        <f>IF(AND(ABS(Nov!K40)&gt;קריטריונים!$B$2,Nov!B40&gt;קריטריונים!$B$3),Nov!K40,"")</f>
        <v>-1.1145104895104785E-2</v>
      </c>
      <c r="F39" s="113">
        <f>IF(AND(ABS(Nov!J40)&gt;קריטריונים!$B$2,Nov!B40&gt;קריטריונים!$B$3),Nov!J40,"")</f>
        <v>0.10204578665367769</v>
      </c>
      <c r="G39" s="113">
        <f>IF(AND(ABS(Nov!F40)&gt;קריטריונים!$B$1,Nov!B40&gt;קריטריונים!$B$3),Nov!F40,"")</f>
        <v>0.29764801297648003</v>
      </c>
      <c r="H39" s="113">
        <f>IF(AND(ABS(Nov!E40)&gt;קריטריונים!$B$1,Nov!B40&gt;קריטריונים!$B$3),Nov!E40,"")</f>
        <v>0.1134307585247043</v>
      </c>
      <c r="I39" s="113">
        <f>IF(AND(ABS(Oct!K40)&gt;קריטריונים!$B$2,Oct!B40&gt;קריטריונים!$B$3),Oct!K40,"")</f>
        <v>-3.344853845703244E-2</v>
      </c>
      <c r="J39" s="113">
        <f>IF(AND(ABS(Oct!J40)&gt;קריטריונים!$B$2,Oct!B40&gt;קריטריונים!$B$3),Oct!J40,"")</f>
        <v>0.10095416027223614</v>
      </c>
      <c r="K39" s="113">
        <f>IF(AND(ABS(Oct!F40)&gt;קריטריונים!$B$1,Oct!B40&gt;קריטריונים!$B$3),Oct!F40,"")</f>
        <v>0.19552641727728504</v>
      </c>
      <c r="L39" s="113">
        <f>IF(AND(ABS(Oct!E40)&gt;קריטריונים!$B$1,Oct!B40&gt;קריטריונים!$B$3),Oct!E40,"")</f>
        <v>0.39200718455321071</v>
      </c>
      <c r="M39" s="113" t="str">
        <f>IF(AND(ABS(Sep!K40)&gt;קריטריונים!$B$2,Sep!B40&gt;קריטריונים!$B$3),Sep!K40,"")</f>
        <v/>
      </c>
      <c r="N39" s="113" t="str">
        <f>IF(AND(ABS(Sep!J40)&gt;קריטריונים!$B$2,Sep!B40&gt;קריטריונים!$B$3),Sep!J40,"")</f>
        <v/>
      </c>
      <c r="O39" s="113" t="str">
        <f>IF(AND(ABS(Sep!F40)&gt;קריטריונים!$B$1,Sep!B40&gt;קריטריונים!$B$3),Sep!F40,"")</f>
        <v/>
      </c>
      <c r="P39" s="113" t="str">
        <f>IF(AND(ABS(Sep!E40)&gt;קריטריונים!$B$1,Sep!B40&gt;קריטריונים!$B$3),Sep!E40,"")</f>
        <v/>
      </c>
      <c r="Q39" s="113" t="str">
        <f>IF(AND(ABS(Aug!K40)&gt;קריטריונים!$B$2,Aug!B40&gt;קריטריונים!$B$3),Aug!K40,"")</f>
        <v/>
      </c>
      <c r="R39" s="113" t="str">
        <f>IF(AND(ABS(Aug!J40)&gt;קריטריונים!$B$2,Aug!B40&gt;קריטריונים!$B$3),Aug!J40,"")</f>
        <v/>
      </c>
      <c r="S39" s="113" t="str">
        <f>IF(AND(ABS(Aug!F40)&gt;קריטריונים!$B$1,Aug!B40&gt;קריטריונים!$B$3),Aug!F40,"")</f>
        <v/>
      </c>
      <c r="T39" s="113" t="str">
        <f>IF(AND(ABS(Aug!E40)&gt;קריטריונים!$B$1,Aug!B40&gt;קריטריונים!$B$3),Aug!E40,"")</f>
        <v/>
      </c>
      <c r="U39" s="113">
        <f>IF(AND(ABS(Jul!K40)&gt;קריטריונים!$B$2,Jul!B40&gt;קריטריונים!$B$3),Jul!K40,"")</f>
        <v>-0.14365067119271724</v>
      </c>
      <c r="V39" s="113">
        <f>IF(AND(ABS(Jul!J40)&gt;קריטריונים!$B$2,Jul!B40&gt;קריטריונים!$B$3),Jul!J40,"")</f>
        <v>4.8752834467120199E-2</v>
      </c>
      <c r="W39" s="113">
        <f>IF(AND(ABS(Jul!F40)&gt;קריטריונים!$B$1,Jul!B40&gt;קריטריונים!$B$3),Jul!F40,"")</f>
        <v>-0.15929203539823</v>
      </c>
      <c r="X39" s="113">
        <f>IF(AND(ABS(Jul!E40)&gt;קריטריונים!$B$1,Jul!B40&gt;קריטריונים!$B$3),Jul!E40,"")</f>
        <v>0.16635972989564141</v>
      </c>
      <c r="Y39" s="113" t="str">
        <f>IF(AND(ABS(Jun!K40)&gt;קריטריונים!$B$2,Jun!B40&gt;קריטריונים!$B$3),Jun!K40,"")</f>
        <v/>
      </c>
      <c r="Z39" s="113" t="str">
        <f>IF(AND(ABS(Jun!J40)&gt;קריטריונים!$B$2,Jun!B40&gt;קריטריונים!$B$3),Jun!J40,"")</f>
        <v/>
      </c>
      <c r="AA39" s="113" t="str">
        <f>IF(AND(ABS(Jun!F40)&gt;קריטריונים!$B$1,Jun!B40&gt;קריטריונים!$B$3),Jun!F40,"")</f>
        <v/>
      </c>
      <c r="AB39" s="113" t="str">
        <f>IF(AND(ABS(Jun!E40)&gt;קריטריונים!$B$1,Jun!B40&gt;קריטריונים!$B$3),Jun!E40,"")</f>
        <v/>
      </c>
      <c r="AC39" s="113" t="str">
        <f>IF(AND(ABS(May!K40)&gt;קריטריונים!$B$2,May!B40&gt;קריטריונים!$B$3),May!K40,"")</f>
        <v/>
      </c>
      <c r="AD39" s="113" t="str">
        <f>IF(AND(ABS(May!J40)&gt;קריטריונים!$B$2,May!B40&gt;קריטריונים!$B$3),May!J40,"")</f>
        <v/>
      </c>
      <c r="AE39" s="113" t="str">
        <f>IF(AND(ABS(May!F40)&gt;קריטריונים!$B$1,May!B40&gt;קריטריונים!$B$3),May!F40,"")</f>
        <v/>
      </c>
      <c r="AF39" s="113" t="str">
        <f>IF(AND(ABS(May!E40)&gt;קריטריונים!$B$1,May!B40&gt;קריטריונים!$B$3),May!E40,"")</f>
        <v/>
      </c>
      <c r="AG39" s="113">
        <f>IF(AND(ABS(Apr!K40)&gt;קריטריונים!$B$2,Apr!B40&gt;קריטריונים!$B$3),Apr!K40,"")</f>
        <v>-2.2222222222222365E-2</v>
      </c>
      <c r="AH39" s="113">
        <f>IF(AND(ABS(Apr!J40)&gt;קריטריונים!$B$2,Apr!B40&gt;קריטריונים!$B$3),Apr!J40,"")</f>
        <v>-9.3904448105436633E-2</v>
      </c>
      <c r="AI39" s="113">
        <f>IF(AND(ABS(Apr!F40)&gt;קריטריונים!$B$1,Apr!B40&gt;קריטריונים!$B$3),Apr!F40,"")</f>
        <v>0.14613180515759305</v>
      </c>
      <c r="AJ39" s="113">
        <f>IF(AND(ABS(Apr!E40)&gt;קריטריונים!$B$1,Apr!B40&gt;קריטריונים!$B$3),Apr!E40,"")</f>
        <v>0.38217000691085001</v>
      </c>
      <c r="AK39" s="113">
        <f>IF(AND(ABS(Mar!K40)&gt;קריטריונים!$B$2,Mar!B40&gt;קריטריונים!$B$3),Mar!K40,"")</f>
        <v>-8.0919080919081177E-2</v>
      </c>
      <c r="AL39" s="113">
        <f>IF(AND(ABS(Mar!J40)&gt;קריטריונים!$B$2,Mar!B40&gt;קריטריונים!$B$3),Mar!J40,"")</f>
        <v>-0.21192393352749705</v>
      </c>
      <c r="AM39" s="113">
        <f>IF(AND(ABS(Mar!F40)&gt;קריטריונים!$B$1,Mar!B40&gt;קריטריונים!$B$3),Mar!F40,"")</f>
        <v>-0.27948426241941604</v>
      </c>
      <c r="AN39" s="113">
        <f>IF(AND(ABS(Mar!E40)&gt;קריטריונים!$B$1,Mar!B40&gt;קריטריונים!$B$3),Mar!E40,"")</f>
        <v>-0.33797909407665516</v>
      </c>
      <c r="AO39" s="113">
        <f>IF(AND(ABS(Feb!K40)&gt;קריטריונים!$B$2,Feb!B40&gt;קריטריונים!$B$3),Feb!K40,"")</f>
        <v>0.14020270270270263</v>
      </c>
      <c r="AP39" s="113">
        <f>IF(AND(ABS(Feb!J40)&gt;קריטריונים!$B$2,Feb!B40&gt;קריטריונים!$B$3),Feb!J40,"")</f>
        <v>-8.9989888776541904E-2</v>
      </c>
      <c r="AQ39" s="113">
        <f>IF(AND(ABS(Feb!F40)&gt;קריטריונים!$B$1,Feb!B40&gt;קריטריונים!$B$3),Feb!F40,"")</f>
        <v>8.3276912660798841E-2</v>
      </c>
      <c r="AR39" s="113">
        <f>IF(AND(ABS(Feb!G40)&gt;קריטריונים!$B$1,Feb!C40&gt;קריטריונים!$B$3),Feb!G40,"")</f>
        <v>2.7</v>
      </c>
      <c r="AS39" s="113" t="str">
        <f>IF(AND(ABS(Feb!H40)&gt;קריטריונים!$B$1,Feb!D40&gt;קריטריונים!$B$3),Feb!H40,"")</f>
        <v/>
      </c>
      <c r="AT39" s="103" t="str">
        <f>IF(AND(ABS(Jan!E40)&gt;קריטריונים!$B$1,Jan!B40&gt;קריטריונים!$B$3),Jan!E40,"")</f>
        <v/>
      </c>
      <c r="AU39" s="118" t="s">
        <v>31</v>
      </c>
    </row>
    <row r="40" spans="1:47">
      <c r="A40" s="112" t="str">
        <f>IF(AND(ABS(Dec!K41)&gt;קריטריונים!$B$2,Dec!B41&gt;קריטריונים!$B$3),Dec!K41,"")</f>
        <v/>
      </c>
      <c r="B40" s="113" t="str">
        <f>IF(AND(ABS(Dec!J41)&gt;קריטריונים!$B$2,Dec!B41&gt;קריטריונים!$B$3),Dec!J41,"")</f>
        <v/>
      </c>
      <c r="C40" s="113" t="str">
        <f>IF(AND(ABS(Dec!F41)&gt;קריטריונים!$B$1,Dec!B41&gt;קריטריונים!$B$3),Dec!F41,"")</f>
        <v/>
      </c>
      <c r="D40" s="113" t="str">
        <f>IF(AND(ABS(Dec!E41)&gt;קריטריונים!$B$1,Dec!B41&gt;קריטריונים!$B$3),Dec!E41,"")</f>
        <v/>
      </c>
      <c r="E40" s="113">
        <f>IF(AND(ABS(Nov!K41)&gt;קריטריונים!$B$2,Nov!B41&gt;קריטריונים!$B$3),Nov!K41,"")</f>
        <v>0.14048985580509354</v>
      </c>
      <c r="F40" s="113">
        <f>IF(AND(ABS(Nov!J41)&gt;קריטריונים!$B$2,Nov!B41&gt;קריטריונים!$B$3),Nov!J41,"")</f>
        <v>0.10049611554614346</v>
      </c>
      <c r="G40" s="113">
        <f>IF(AND(ABS(Nov!F41)&gt;קריטריונים!$B$1,Nov!B41&gt;קריטריונים!$B$3),Nov!F41,"")</f>
        <v>0.18658915346022131</v>
      </c>
      <c r="H40" s="113">
        <f>IF(AND(ABS(Nov!E41)&gt;קריטריונים!$B$1,Nov!B41&gt;קריטריונים!$B$3),Nov!E41,"")</f>
        <v>-1.1936339522546358E-2</v>
      </c>
      <c r="I40" s="113">
        <f>IF(AND(ABS(Oct!K41)&gt;קריטריונים!$B$2,Oct!B41&gt;קריטריונים!$B$3),Oct!K41,"")</f>
        <v>0.13662180763628129</v>
      </c>
      <c r="J40" s="113">
        <f>IF(AND(ABS(Oct!J41)&gt;קריטריונים!$B$2,Oct!B41&gt;קריטריונים!$B$3),Oct!J41,"")</f>
        <v>0.11157581064655697</v>
      </c>
      <c r="K40" s="113">
        <f>IF(AND(ABS(Oct!F41)&gt;קריטריונים!$B$1,Oct!B41&gt;קריטריונים!$B$3),Oct!F41,"")</f>
        <v>0.36178978085483782</v>
      </c>
      <c r="L40" s="113">
        <f>IF(AND(ABS(Oct!E41)&gt;קריטריונים!$B$1,Oct!B41&gt;קריטריונים!$B$3),Oct!E41,"")</f>
        <v>0.37667746413697367</v>
      </c>
      <c r="M40" s="113">
        <f>IF(AND(ABS(Sep!K41)&gt;קריטריונים!$B$2,Sep!B41&gt;קריטריונים!$B$3),Sep!K41,"")</f>
        <v>0.1068491492468433</v>
      </c>
      <c r="N40" s="113">
        <f>IF(AND(ABS(Sep!J41)&gt;קריטריונים!$B$2,Sep!B41&gt;קריטריונים!$B$3),Sep!J41,"")</f>
        <v>7.7811666592995321E-2</v>
      </c>
      <c r="O40" s="113">
        <f>IF(AND(ABS(Sep!F41)&gt;קריטריונים!$B$1,Sep!B41&gt;קריטריונים!$B$3),Sep!F41,"")</f>
        <v>7.7955454026270798E-2</v>
      </c>
      <c r="P40" s="113">
        <f>IF(AND(ABS(Sep!E41)&gt;קריטריונים!$B$1,Sep!B41&gt;קריטריונים!$B$3),Sep!E41,"")</f>
        <v>-9.4778490498171664E-2</v>
      </c>
      <c r="Q40" s="113">
        <f>IF(AND(ABS(Aug!K41)&gt;קריטריונים!$B$2,Aug!B41&gt;קריטריונים!$B$3),Aug!K41,"")</f>
        <v>0.11027426820909048</v>
      </c>
      <c r="R40" s="113">
        <f>IF(AND(ABS(Aug!J41)&gt;קריטריונים!$B$2,Aug!B41&gt;קריטריונים!$B$3),Aug!J41,"")</f>
        <v>0.10199316293876048</v>
      </c>
      <c r="S40" s="113">
        <f>IF(AND(ABS(Aug!F41)&gt;קריטריונים!$B$1,Aug!B41&gt;קריטריונים!$B$3),Aug!F41,"")</f>
        <v>0.10787824529991052</v>
      </c>
      <c r="T40" s="113">
        <f>IF(AND(ABS(Aug!E41)&gt;קריטריונים!$B$1,Aug!B41&gt;קריטריונים!$B$3),Aug!E41,"")</f>
        <v>0.16108602591919308</v>
      </c>
      <c r="U40" s="113">
        <f>IF(AND(ABS(Jul!K41)&gt;קריטריונים!$B$2,Jul!B41&gt;קריטריונים!$B$3),Jul!K41,"")</f>
        <v>-5.728236677978138E-2</v>
      </c>
      <c r="V40" s="113">
        <f>IF(AND(ABS(Jul!J41)&gt;קריטריונים!$B$2,Jul!B41&gt;קריטריונים!$B$3),Jul!J41,"")</f>
        <v>9.2114034743735473E-2</v>
      </c>
      <c r="W40" s="113">
        <f>IF(AND(ABS(Jul!F41)&gt;קריטריונים!$B$1,Jul!B41&gt;קריטריונים!$B$3),Jul!F41,"")</f>
        <v>3.4482758620689724E-2</v>
      </c>
      <c r="X40" s="113">
        <f>IF(AND(ABS(Jul!E41)&gt;קריטריונים!$B$1,Jul!B41&gt;קריטריונים!$B$3),Jul!E41,"")</f>
        <v>2.2113653895603047E-2</v>
      </c>
      <c r="Y40" s="113">
        <f>IF(AND(ABS(Jun!K41)&gt;קריטריונים!$B$2,Jun!B41&gt;קריטריונים!$B$3),Jun!K41,"")</f>
        <v>7.7134928088298249E-3</v>
      </c>
      <c r="Z40" s="113">
        <f>IF(AND(ABS(Jun!J41)&gt;קריטריונים!$B$2,Jun!B41&gt;קריטריונים!$B$3),Jun!J41,"")</f>
        <v>0.10471034610401619</v>
      </c>
      <c r="AA40" s="113">
        <f>IF(AND(ABS(Jun!F41)&gt;קריטריונים!$B$1,Jun!B41&gt;קריטריונים!$B$3),Jun!F41,"")</f>
        <v>0.14005389345678143</v>
      </c>
      <c r="AB40" s="113">
        <f>IF(AND(ABS(Jun!E41)&gt;קריטריונים!$B$1,Jun!B41&gt;קריטריונים!$B$3),Jun!E41,"")</f>
        <v>6.9137562366357708E-2</v>
      </c>
      <c r="AC40" s="113">
        <f>IF(AND(ABS(May!K41)&gt;קריטריונים!$B$2,May!B41&gt;קריטריונים!$B$3),May!K41,"")</f>
        <v>0.1212990036051893</v>
      </c>
      <c r="AD40" s="113">
        <f>IF(AND(ABS(May!J41)&gt;קריטריונים!$B$2,May!B41&gt;קריטריונים!$B$3),May!J41,"")</f>
        <v>0.1124410335844539</v>
      </c>
      <c r="AE40" s="113">
        <f>IF(AND(ABS(May!F41)&gt;קריטריונים!$B$1,May!B41&gt;קריטריונים!$B$3),May!F41,"")</f>
        <v>0.1632838533777643</v>
      </c>
      <c r="AF40" s="113">
        <f>IF(AND(ABS(May!E41)&gt;קריטריונים!$B$1,May!B41&gt;קריטריונים!$B$3),May!E41,"")</f>
        <v>-4.3491256912270293E-2</v>
      </c>
      <c r="AG40" s="113">
        <f>IF(AND(ABS(Apr!K41)&gt;קריטריונים!$B$2,Apr!B41&gt;קריטריונים!$B$3),Apr!K41,"")</f>
        <v>0.10845428089491915</v>
      </c>
      <c r="AH40" s="113">
        <f>IF(AND(ABS(Apr!J41)&gt;קריטריונים!$B$2,Apr!B41&gt;קריטריונים!$B$3),Apr!J41,"")</f>
        <v>0.17388402496957323</v>
      </c>
      <c r="AI40" s="113">
        <f>IF(AND(ABS(Apr!F41)&gt;קריטריונים!$B$1,Apr!B41&gt;קריטריונים!$B$3),Apr!F41,"")</f>
        <v>0.21613551224279259</v>
      </c>
      <c r="AJ40" s="113">
        <f>IF(AND(ABS(Apr!E41)&gt;קריטריונים!$B$1,Apr!B41&gt;קריטריונים!$B$3),Apr!E41,"")</f>
        <v>0.45985401459854014</v>
      </c>
      <c r="AK40" s="113">
        <f>IF(AND(ABS(Mar!K41)&gt;קריטריונים!$B$2,Mar!B41&gt;קריטריונים!$B$3),Mar!K41,"")</f>
        <v>5.2631578947368363E-2</v>
      </c>
      <c r="AL40" s="113">
        <f>IF(AND(ABS(Mar!J41)&gt;קריטריונים!$B$2,Mar!B41&gt;קריטריונים!$B$3),Mar!J41,"")</f>
        <v>5.0620821394460336E-2</v>
      </c>
      <c r="AM40" s="113">
        <f>IF(AND(ABS(Mar!F41)&gt;קריטריונים!$B$1,Mar!B41&gt;קריטריונים!$B$3),Mar!F41,"")</f>
        <v>-7.2830743653686247E-2</v>
      </c>
      <c r="AN40" s="113">
        <f>IF(AND(ABS(Mar!E41)&gt;קריטריונים!$B$1,Mar!B41&gt;קריטריונים!$B$3),Mar!E41,"")</f>
        <v>-4.6052631578947345E-2</v>
      </c>
      <c r="AO40" s="113">
        <f>IF(AND(ABS(Feb!K41)&gt;קריטריונים!$B$2,Feb!B41&gt;קריטריונים!$B$3),Feb!K41,"")</f>
        <v>0.15127444572922433</v>
      </c>
      <c r="AP40" s="113">
        <f>IF(AND(ABS(Feb!J41)&gt;קריטריונים!$B$2,Feb!B41&gt;קריטריונים!$B$3),Feb!J41,"")</f>
        <v>0.12265908422394323</v>
      </c>
      <c r="AQ40" s="113">
        <f>IF(AND(ABS(Feb!F41)&gt;קריטריונים!$B$1,Feb!B41&gt;קריטריונים!$B$3),Feb!F41,"")</f>
        <v>0.18089103596349965</v>
      </c>
      <c r="AR40" s="113">
        <f>IF(AND(ABS(Feb!G41)&gt;קריטריונים!$B$1,Feb!C41&gt;קריטריונים!$B$3),Feb!G41,"")</f>
        <v>22.9</v>
      </c>
      <c r="AS40" s="113">
        <f>IF(AND(ABS(Feb!H41)&gt;קריטריונים!$B$1,Feb!D41&gt;קריטריונים!$B$3),Feb!H41,"")</f>
        <v>20.398000000000003</v>
      </c>
      <c r="AT40" s="103">
        <f>IF(AND(ABS(Jan!E41)&gt;קריטריונים!$B$1,Jan!B41&gt;קריטריונים!$B$3),Jan!E41,"")</f>
        <v>0.12987769365171786</v>
      </c>
      <c r="AU40" s="118" t="s">
        <v>32</v>
      </c>
    </row>
    <row r="41" spans="1:47">
      <c r="A41" s="112" t="str">
        <f>IF(AND(ABS(Dec!K42)&gt;קריטריונים!$B$2,Dec!B42&gt;קריטריונים!$B$3),Dec!K42,"")</f>
        <v/>
      </c>
      <c r="B41" s="113" t="str">
        <f>IF(AND(ABS(Dec!J42)&gt;קריטריונים!$B$2,Dec!B42&gt;קריטריונים!$B$3),Dec!J42,"")</f>
        <v/>
      </c>
      <c r="C41" s="113" t="str">
        <f>IF(AND(ABS(Dec!F42)&gt;קריטריונים!$B$1,Dec!B42&gt;קריטריונים!$B$3),Dec!F42,"")</f>
        <v/>
      </c>
      <c r="D41" s="113" t="str">
        <f>IF(AND(ABS(Dec!E42)&gt;קריטריונים!$B$1,Dec!B42&gt;קריטריונים!$B$3),Dec!E42,"")</f>
        <v/>
      </c>
      <c r="E41" s="113" t="str">
        <f>IF(AND(ABS(Nov!K42)&gt;קריטריונים!$B$2,Nov!B42&gt;קריטריונים!$B$3),Nov!K42,"")</f>
        <v/>
      </c>
      <c r="F41" s="113" t="str">
        <f>IF(AND(ABS(Nov!J42)&gt;קריטריונים!$B$2,Nov!B42&gt;קריטריונים!$B$3),Nov!J42,"")</f>
        <v/>
      </c>
      <c r="G41" s="113" t="str">
        <f>IF(AND(ABS(Nov!F42)&gt;קריטריונים!$B$1,Nov!B42&gt;קריטריונים!$B$3),Nov!F42,"")</f>
        <v/>
      </c>
      <c r="H41" s="113" t="str">
        <f>IF(AND(ABS(Nov!E42)&gt;קריטריונים!$B$1,Nov!B42&gt;קריטריונים!$B$3),Nov!E42,"")</f>
        <v/>
      </c>
      <c r="I41" s="113">
        <f>IF(AND(ABS(Oct!K42)&gt;קריטריונים!$B$2,Oct!B42&gt;קריטריונים!$B$3),Oct!K42,"")</f>
        <v>0.19717294100677929</v>
      </c>
      <c r="J41" s="113">
        <f>IF(AND(ABS(Oct!J42)&gt;קריטריונים!$B$2,Oct!B42&gt;קריטריונים!$B$3),Oct!J42,"")</f>
        <v>-3.7569573283858793E-2</v>
      </c>
      <c r="K41" s="113">
        <f>IF(AND(ABS(Oct!F42)&gt;קריטריונים!$B$1,Oct!B42&gt;קריטריונים!$B$3),Oct!F42,"")</f>
        <v>0.53846153846153855</v>
      </c>
      <c r="L41" s="113">
        <f>IF(AND(ABS(Oct!E42)&gt;קריטריונים!$B$1,Oct!B42&gt;קריטריונים!$B$3),Oct!E42,"")</f>
        <v>-7.4609600925390374E-2</v>
      </c>
      <c r="M41" s="113" t="str">
        <f>IF(AND(ABS(Sep!K42)&gt;קריטריונים!$B$2,Sep!B42&gt;קריטריונים!$B$3),Sep!K42,"")</f>
        <v/>
      </c>
      <c r="N41" s="113" t="str">
        <f>IF(AND(ABS(Sep!J42)&gt;קריטריונים!$B$2,Sep!B42&gt;קריטריונים!$B$3),Sep!J42,"")</f>
        <v/>
      </c>
      <c r="O41" s="113" t="str">
        <f>IF(AND(ABS(Sep!F42)&gt;קריטריונים!$B$1,Sep!B42&gt;קריטריונים!$B$3),Sep!F42,"")</f>
        <v/>
      </c>
      <c r="P41" s="113" t="str">
        <f>IF(AND(ABS(Sep!E42)&gt;קריטריונים!$B$1,Sep!B42&gt;קריטריונים!$B$3),Sep!E42,"")</f>
        <v/>
      </c>
      <c r="Q41" s="113" t="str">
        <f>IF(AND(ABS(Aug!K42)&gt;קריטריונים!$B$2,Aug!B42&gt;קריטריונים!$B$3),Aug!K42,"")</f>
        <v/>
      </c>
      <c r="R41" s="113" t="str">
        <f>IF(AND(ABS(Aug!J42)&gt;קריטריונים!$B$2,Aug!B42&gt;קריטריונים!$B$3),Aug!J42,"")</f>
        <v/>
      </c>
      <c r="S41" s="113" t="str">
        <f>IF(AND(ABS(Aug!F42)&gt;קריטריונים!$B$1,Aug!B42&gt;קריטריונים!$B$3),Aug!F42,"")</f>
        <v/>
      </c>
      <c r="T41" s="113" t="str">
        <f>IF(AND(ABS(Aug!E42)&gt;קריטריונים!$B$1,Aug!B42&gt;קריטריונים!$B$3),Aug!E42,"")</f>
        <v/>
      </c>
      <c r="U41" s="113" t="str">
        <f>IF(AND(ABS(Jul!K42)&gt;קריטריונים!$B$2,Jul!B42&gt;קריטריונים!$B$3),Jul!K42,"")</f>
        <v/>
      </c>
      <c r="V41" s="113" t="str">
        <f>IF(AND(ABS(Jul!J42)&gt;קריטריונים!$B$2,Jul!B42&gt;קריטריונים!$B$3),Jul!J42,"")</f>
        <v/>
      </c>
      <c r="W41" s="113" t="str">
        <f>IF(AND(ABS(Jul!F42)&gt;קריטריונים!$B$1,Jul!B42&gt;קריטריונים!$B$3),Jul!F42,"")</f>
        <v/>
      </c>
      <c r="X41" s="113" t="str">
        <f>IF(AND(ABS(Jul!E42)&gt;קריטריונים!$B$1,Jul!B42&gt;קריטריונים!$B$3),Jul!E42,"")</f>
        <v/>
      </c>
      <c r="Y41" s="113" t="str">
        <f>IF(AND(ABS(Jun!K42)&gt;קריטריונים!$B$2,Jun!B42&gt;קריטריונים!$B$3),Jun!K42,"")</f>
        <v/>
      </c>
      <c r="Z41" s="113" t="str">
        <f>IF(AND(ABS(Jun!J42)&gt;קריטריונים!$B$2,Jun!B42&gt;קריטריונים!$B$3),Jun!J42,"")</f>
        <v/>
      </c>
      <c r="AA41" s="113" t="str">
        <f>IF(AND(ABS(Jun!F42)&gt;קריטריונים!$B$1,Jun!B42&gt;קריטריונים!$B$3),Jun!F42,"")</f>
        <v/>
      </c>
      <c r="AB41" s="113" t="str">
        <f>IF(AND(ABS(Jun!E42)&gt;קריטריונים!$B$1,Jun!B42&gt;קריטריונים!$B$3),Jun!E42,"")</f>
        <v/>
      </c>
      <c r="AC41" s="113" t="str">
        <f>IF(AND(ABS(May!K42)&gt;קריטריונים!$B$2,May!B42&gt;קריטריונים!$B$3),May!K42,"")</f>
        <v/>
      </c>
      <c r="AD41" s="113" t="str">
        <f>IF(AND(ABS(May!J42)&gt;קריטריונים!$B$2,May!B42&gt;קריטריונים!$B$3),May!J42,"")</f>
        <v/>
      </c>
      <c r="AE41" s="113" t="str">
        <f>IF(AND(ABS(May!F42)&gt;קריטריונים!$B$1,May!B42&gt;קריטריונים!$B$3),May!F42,"")</f>
        <v/>
      </c>
      <c r="AF41" s="113" t="str">
        <f>IF(AND(ABS(May!E42)&gt;קריטריונים!$B$1,May!B42&gt;קריטריונים!$B$3),May!E42,"")</f>
        <v/>
      </c>
      <c r="AG41" s="113" t="str">
        <f>IF(AND(ABS(Apr!K42)&gt;קריטריונים!$B$2,Apr!B42&gt;קריטריונים!$B$3),Apr!K42,"")</f>
        <v/>
      </c>
      <c r="AH41" s="113" t="str">
        <f>IF(AND(ABS(Apr!J42)&gt;קריטריונים!$B$2,Apr!B42&gt;קריטריונים!$B$3),Apr!J42,"")</f>
        <v/>
      </c>
      <c r="AI41" s="113" t="str">
        <f>IF(AND(ABS(Apr!F42)&gt;קריטריונים!$B$1,Apr!B42&gt;קריטריונים!$B$3),Apr!F42,"")</f>
        <v/>
      </c>
      <c r="AJ41" s="113" t="str">
        <f>IF(AND(ABS(Apr!E42)&gt;קריטריונים!$B$1,Apr!B42&gt;קריטריונים!$B$3),Apr!E42,"")</f>
        <v/>
      </c>
      <c r="AK41" s="113" t="str">
        <f>IF(AND(ABS(Mar!K42)&gt;קריטריונים!$B$2,Mar!B42&gt;קריטריונים!$B$3),Mar!K42,"")</f>
        <v/>
      </c>
      <c r="AL41" s="113" t="str">
        <f>IF(AND(ABS(Mar!J42)&gt;קריטריונים!$B$2,Mar!B42&gt;קריטריונים!$B$3),Mar!J42,"")</f>
        <v/>
      </c>
      <c r="AM41" s="113" t="str">
        <f>IF(AND(ABS(Mar!F42)&gt;קריטריונים!$B$1,Mar!B42&gt;קריטריונים!$B$3),Mar!F42,"")</f>
        <v/>
      </c>
      <c r="AN41" s="113" t="str">
        <f>IF(AND(ABS(Mar!E42)&gt;קריטריונים!$B$1,Mar!B42&gt;קריטריונים!$B$3),Mar!E42,"")</f>
        <v/>
      </c>
      <c r="AO41" s="113" t="str">
        <f>IF(AND(ABS(Feb!K42)&gt;קריטריונים!$B$2,Feb!B42&gt;קריטריונים!$B$3),Feb!K42,"")</f>
        <v/>
      </c>
      <c r="AP41" s="113" t="str">
        <f>IF(AND(ABS(Feb!J42)&gt;קריטריונים!$B$2,Feb!B42&gt;קריטריונים!$B$3),Feb!J42,"")</f>
        <v/>
      </c>
      <c r="AQ41" s="113" t="str">
        <f>IF(AND(ABS(Feb!F42)&gt;קריטריונים!$B$1,Feb!B42&gt;קריטריונים!$B$3),Feb!F42,"")</f>
        <v/>
      </c>
      <c r="AR41" s="113" t="str">
        <f>IF(AND(ABS(Feb!G42)&gt;קריטריונים!$B$1,Feb!C42&gt;קריטריונים!$B$3),Feb!G42,"")</f>
        <v/>
      </c>
      <c r="AS41" s="113" t="str">
        <f>IF(AND(ABS(Feb!H42)&gt;קריטריונים!$B$1,Feb!D42&gt;קריטריונים!$B$3),Feb!H42,"")</f>
        <v/>
      </c>
      <c r="AT41" s="103" t="str">
        <f>IF(AND(ABS(Jan!E42)&gt;קריטריונים!$B$1,Jan!B42&gt;קריטריונים!$B$3),Jan!E42,"")</f>
        <v/>
      </c>
      <c r="AU41" s="118" t="s">
        <v>33</v>
      </c>
    </row>
    <row r="42" spans="1:47">
      <c r="A42" s="112" t="str">
        <f>IF(AND(ABS(Dec!K43)&gt;קריטריונים!$B$2,Dec!B43&gt;קריטריונים!$B$3),Dec!K43,"")</f>
        <v/>
      </c>
      <c r="B42" s="113" t="str">
        <f>IF(AND(ABS(Dec!J43)&gt;קריטריונים!$B$2,Dec!B43&gt;קריטריונים!$B$3),Dec!J43,"")</f>
        <v/>
      </c>
      <c r="C42" s="113" t="str">
        <f>IF(AND(ABS(Dec!F43)&gt;קריטריונים!$B$1,Dec!B43&gt;קריטריונים!$B$3),Dec!F43,"")</f>
        <v/>
      </c>
      <c r="D42" s="113" t="str">
        <f>IF(AND(ABS(Dec!E43)&gt;קריטריונים!$B$1,Dec!B43&gt;קריטריונים!$B$3),Dec!E43,"")</f>
        <v/>
      </c>
      <c r="E42" s="113">
        <f>IF(AND(ABS(Nov!K43)&gt;קריטריונים!$B$2,Nov!B43&gt;קריטריונים!$B$3),Nov!K43,"")</f>
        <v>0.32599675266101391</v>
      </c>
      <c r="F42" s="113">
        <f>IF(AND(ABS(Nov!J43)&gt;קריטריונים!$B$2,Nov!B43&gt;קריטריונים!$B$3),Nov!J43,"")</f>
        <v>0.27712256467061969</v>
      </c>
      <c r="G42" s="113">
        <f>IF(AND(ABS(Nov!F43)&gt;קריטריונים!$B$1,Nov!B43&gt;קריטריונים!$B$3),Nov!F43,"")</f>
        <v>1.0167545764815391</v>
      </c>
      <c r="H42" s="113">
        <f>IF(AND(ABS(Nov!E43)&gt;קריטריונים!$B$1,Nov!B43&gt;קריטריונים!$B$3),Nov!E43,"")</f>
        <v>0.48266423357664223</v>
      </c>
      <c r="I42" s="113">
        <f>IF(AND(ABS(Oct!K43)&gt;קריטריונים!$B$2,Oct!B43&gt;קריטריונים!$B$3),Oct!K43,"")</f>
        <v>0.27185622917730612</v>
      </c>
      <c r="J42" s="113">
        <f>IF(AND(ABS(Oct!J43)&gt;קריטריונים!$B$2,Oct!B43&gt;קריטריונים!$B$3),Oct!J43,"")</f>
        <v>0.25549127397556237</v>
      </c>
      <c r="K42" s="113">
        <f>IF(AND(ABS(Oct!F43)&gt;קריטריונים!$B$1,Oct!B43&gt;קריטריונים!$B$3),Oct!F43,"")</f>
        <v>0.40082181546507289</v>
      </c>
      <c r="L42" s="113">
        <f>IF(AND(ABS(Oct!E43)&gt;קריטריונים!$B$1,Oct!B43&gt;קריטריונים!$B$3),Oct!E43,"")</f>
        <v>0.48573692551505543</v>
      </c>
      <c r="M42" s="113">
        <f>IF(AND(ABS(Sep!K43)&gt;קריטריונים!$B$2,Sep!B43&gt;קריטריונים!$B$3),Sep!K43,"")</f>
        <v>0.25255123437805804</v>
      </c>
      <c r="N42" s="113">
        <f>IF(AND(ABS(Sep!J43)&gt;קריטריונים!$B$2,Sep!B43&gt;קריטריונים!$B$3),Sep!J43,"")</f>
        <v>0.22374279548744846</v>
      </c>
      <c r="O42" s="113">
        <f>IF(AND(ABS(Sep!F43)&gt;קריטריונים!$B$1,Sep!B43&gt;קריטריונים!$B$3),Sep!F43,"")</f>
        <v>0.28169406519921969</v>
      </c>
      <c r="P42" s="113">
        <f>IF(AND(ABS(Sep!E43)&gt;קריטריונים!$B$1,Sep!B43&gt;קריטריונים!$B$3),Sep!E43,"")</f>
        <v>4.261106074342691E-2</v>
      </c>
      <c r="Q42" s="113">
        <f>IF(AND(ABS(Aug!K43)&gt;קריטריונים!$B$2,Aug!B43&gt;קריטריונים!$B$3),Aug!K43,"")</f>
        <v>0.24930076449748295</v>
      </c>
      <c r="R42" s="113">
        <f>IF(AND(ABS(Aug!J43)&gt;קריטריונים!$B$2,Aug!B43&gt;קריטריונים!$B$3),Aug!J43,"")</f>
        <v>0.24856353076373572</v>
      </c>
      <c r="S42" s="113">
        <f>IF(AND(ABS(Aug!F43)&gt;קריטריונים!$B$1,Aug!B43&gt;קריטריונים!$B$3),Aug!F43,"")</f>
        <v>0.13871635610766031</v>
      </c>
      <c r="T42" s="113">
        <f>IF(AND(ABS(Aug!E43)&gt;קריטריונים!$B$1,Aug!B43&gt;קריטריונים!$B$3),Aug!E43,"")</f>
        <v>9.9633455514828384E-2</v>
      </c>
      <c r="U42" s="113">
        <f>IF(AND(ABS(Jul!K43)&gt;קריטריונים!$B$2,Jul!B43&gt;קריטריונים!$B$3),Jul!K43,"")</f>
        <v>0.14674622412828664</v>
      </c>
      <c r="V42" s="113">
        <f>IF(AND(ABS(Jul!J43)&gt;קריטריונים!$B$2,Jul!B43&gt;קריטריונים!$B$3),Jul!J43,"")</f>
        <v>0.26387176325524053</v>
      </c>
      <c r="W42" s="113">
        <f>IF(AND(ABS(Jul!F43)&gt;קריטריונים!$B$1,Jul!B43&gt;קריטריונים!$B$3),Jul!F43,"")</f>
        <v>6.4701064701064626E-2</v>
      </c>
      <c r="X42" s="113">
        <f>IF(AND(ABS(Jul!E43)&gt;קריטריונים!$B$1,Jul!B43&gt;קריטריונים!$B$3),Jul!E43,"")</f>
        <v>0.24372159770389867</v>
      </c>
      <c r="Y42" s="113">
        <f>IF(AND(ABS(Jun!K43)&gt;קריטריונים!$B$2,Jun!B43&gt;קריטריונים!$B$3),Jun!K43,"")</f>
        <v>0.28386861609493352</v>
      </c>
      <c r="Z42" s="113">
        <f>IF(AND(ABS(Jun!J43)&gt;קריטריונים!$B$2,Jun!B43&gt;קריטריונים!$B$3),Jun!J43,"")</f>
        <v>0.26723965620627621</v>
      </c>
      <c r="AA42" s="113">
        <f>IF(AND(ABS(Jun!F43)&gt;קריטריונים!$B$1,Jun!B43&gt;קריטריונים!$B$3),Jun!F43,"")</f>
        <v>0.20120120120120122</v>
      </c>
      <c r="AB42" s="113">
        <f>IF(AND(ABS(Jun!E43)&gt;קריטריונים!$B$1,Jun!B43&gt;קריטריונים!$B$3),Jun!E43,"")</f>
        <v>0.14285714285714279</v>
      </c>
      <c r="AC42" s="113">
        <f>IF(AND(ABS(May!K43)&gt;קריטריונים!$B$2,May!B43&gt;קריטריונים!$B$3),May!K43,"")</f>
        <v>0.3149150289566125</v>
      </c>
      <c r="AD42" s="113">
        <f>IF(AND(ABS(May!J43)&gt;קריטריונים!$B$2,May!B43&gt;קריטריונים!$B$3),May!J43,"")</f>
        <v>0.28747385544968629</v>
      </c>
      <c r="AE42" s="113">
        <f>IF(AND(ABS(May!F43)&gt;קריטריונים!$B$1,May!B43&gt;קריטריונים!$B$3),May!F43,"")</f>
        <v>3.6090485235710457E-2</v>
      </c>
      <c r="AF42" s="113">
        <f>IF(AND(ABS(May!E43)&gt;קריטריונים!$B$1,May!B43&gt;קריטריונים!$B$3),May!E43,"")</f>
        <v>0.11193476649369916</v>
      </c>
      <c r="AG42" s="113">
        <f>IF(AND(ABS(Apr!K43)&gt;קריטריונים!$B$2,Apr!B43&gt;קריטריונים!$B$3),Apr!K43,"")</f>
        <v>0.42062193126022906</v>
      </c>
      <c r="AH42" s="113">
        <f>IF(AND(ABS(Apr!J43)&gt;קריטריונים!$B$2,Apr!B43&gt;קריטריונים!$B$3),Apr!J43,"")</f>
        <v>0.34623735963769486</v>
      </c>
      <c r="AI42" s="113">
        <f>IF(AND(ABS(Apr!F43)&gt;קריטריונים!$B$1,Apr!B43&gt;קריטריונים!$B$3),Apr!F43,"")</f>
        <v>0.57227085938895828</v>
      </c>
      <c r="AJ42" s="113">
        <f>IF(AND(ABS(Apr!E43)&gt;קריטריונים!$B$1,Apr!B43&gt;קריטריונים!$B$3),Apr!E43,"")</f>
        <v>0.40507743892703196</v>
      </c>
      <c r="AK42" s="113">
        <f>IF(AND(ABS(Mar!K43)&gt;קריטריונים!$B$2,Mar!B43&gt;קריטריונים!$B$3),Mar!K43,"")</f>
        <v>0.33292002479851202</v>
      </c>
      <c r="AL42" s="113">
        <f>IF(AND(ABS(Mar!J43)&gt;קריטריונים!$B$2,Mar!B43&gt;קריטריונים!$B$3),Mar!J43,"")</f>
        <v>0.3088474025974024</v>
      </c>
      <c r="AM42" s="113">
        <f>IF(AND(ABS(Mar!F43)&gt;קריטריונים!$B$1,Mar!B43&gt;קריטריונים!$B$3),Mar!F43,"")</f>
        <v>0.52650568970302514</v>
      </c>
      <c r="AN42" s="113">
        <f>IF(AND(ABS(Mar!E43)&gt;קריטריונים!$B$1,Mar!B43&gt;קריטריונים!$B$3),Mar!E43,"")</f>
        <v>0.35836008891084203</v>
      </c>
      <c r="AO42" s="113">
        <f>IF(AND(ABS(Feb!K43)&gt;קריטריונים!$B$2,Feb!B43&gt;קריטריונים!$B$3),Feb!K43,"")</f>
        <v>0.21810699588477367</v>
      </c>
      <c r="AP42" s="113">
        <f>IF(AND(ABS(Feb!J43)&gt;קריטריונים!$B$2,Feb!B43&gt;קריטריונים!$B$3),Feb!J43,"")</f>
        <v>0.27432409161356985</v>
      </c>
      <c r="AQ42" s="113">
        <f>IF(AND(ABS(Feb!F43)&gt;קריטריונים!$B$1,Feb!B43&gt;קריטריונים!$B$3),Feb!F43,"")</f>
        <v>0.28278221208665899</v>
      </c>
      <c r="AR42" s="113">
        <f>IF(AND(ABS(Feb!G43)&gt;קריטריונים!$B$1,Feb!C43&gt;קריטריונים!$B$3),Feb!G43,"")</f>
        <v>7.4</v>
      </c>
      <c r="AS42" s="113">
        <f>IF(AND(ABS(Feb!H43)&gt;קריטריונים!$B$1,Feb!D43&gt;קריטריונים!$B$3),Feb!H43,"")</f>
        <v>5.8070000000000004</v>
      </c>
      <c r="AT42" s="103">
        <f>IF(AND(ABS(Jan!E43)&gt;קריטריונים!$B$1,Jan!B43&gt;קריטריונים!$B$3),Jan!E43,"")</f>
        <v>0.23351765206295183</v>
      </c>
      <c r="AU42" s="118" t="s">
        <v>34</v>
      </c>
    </row>
    <row r="43" spans="1:47">
      <c r="A43" s="112" t="str">
        <f>IF(AND(ABS(Dec!K44)&gt;קריטריונים!$B$2,Dec!B44&gt;קריטריונים!$B$3),Dec!K44,"")</f>
        <v/>
      </c>
      <c r="B43" s="113" t="str">
        <f>IF(AND(ABS(Dec!J44)&gt;קריטריונים!$B$2,Dec!B44&gt;קריטריונים!$B$3),Dec!J44,"")</f>
        <v/>
      </c>
      <c r="C43" s="113" t="str">
        <f>IF(AND(ABS(Dec!F44)&gt;קריטריונים!$B$1,Dec!B44&gt;קריטריונים!$B$3),Dec!F44,"")</f>
        <v/>
      </c>
      <c r="D43" s="113" t="str">
        <f>IF(AND(ABS(Dec!E44)&gt;קריטריונים!$B$1,Dec!B44&gt;קריטריונים!$B$3),Dec!E44,"")</f>
        <v/>
      </c>
      <c r="E43" s="113">
        <f>IF(AND(ABS(Nov!K44)&gt;קריטריונים!$B$2,Nov!B44&gt;קריטריונים!$B$3),Nov!K44,"")</f>
        <v>0.11211001231978157</v>
      </c>
      <c r="F43" s="113">
        <f>IF(AND(ABS(Nov!J44)&gt;קריטריונים!$B$2,Nov!B44&gt;קריטריונים!$B$3),Nov!J44,"")</f>
        <v>0.10482617181039333</v>
      </c>
      <c r="G43" s="113">
        <f>IF(AND(ABS(Nov!F44)&gt;קריטריונים!$B$1,Nov!B44&gt;קריטריונים!$B$3),Nov!F44,"")</f>
        <v>0.24899274778404501</v>
      </c>
      <c r="H43" s="113">
        <f>IF(AND(ABS(Nov!E44)&gt;קריטריונים!$B$1,Nov!B44&gt;קריטריונים!$B$3),Nov!E44,"")</f>
        <v>0.18095238095238098</v>
      </c>
      <c r="I43" s="113">
        <f>IF(AND(ABS(Oct!K44)&gt;קריטריונים!$B$2,Oct!B44&gt;קריטריונים!$B$3),Oct!K44,"")</f>
        <v>9.9778592428586999E-2</v>
      </c>
      <c r="J43" s="113">
        <f>IF(AND(ABS(Oct!J44)&gt;קריטריונים!$B$2,Oct!B44&gt;קריטריונים!$B$3),Oct!J44,"")</f>
        <v>9.7587480982395336E-2</v>
      </c>
      <c r="K43" s="113">
        <f>IF(AND(ABS(Oct!F44)&gt;קריטריונים!$B$1,Oct!B44&gt;קריטריונים!$B$3),Oct!F44,"")</f>
        <v>0.64594001463057782</v>
      </c>
      <c r="L43" s="113">
        <f>IF(AND(ABS(Oct!E44)&gt;קריטריונים!$B$1,Oct!B44&gt;קריטריונים!$B$3),Oct!E44,"")</f>
        <v>0.4218009478672986</v>
      </c>
      <c r="M43" s="113">
        <f>IF(AND(ABS(Sep!K44)&gt;קריטריונים!$B$2,Sep!B44&gt;קריטריונים!$B$3),Sep!K44,"")</f>
        <v>3.960994479590596E-2</v>
      </c>
      <c r="N43" s="113">
        <f>IF(AND(ABS(Sep!J44)&gt;קריטריונים!$B$2,Sep!B44&gt;קריטריונים!$B$3),Sep!J44,"")</f>
        <v>5.5603289554437385E-2</v>
      </c>
      <c r="O43" s="113">
        <f>IF(AND(ABS(Sep!F44)&gt;קריטריונים!$B$1,Sep!B44&gt;קריטריונים!$B$3),Sep!F44,"")</f>
        <v>-7.0247933884297398E-2</v>
      </c>
      <c r="P43" s="113">
        <f>IF(AND(ABS(Sep!E44)&gt;קריטריונים!$B$1,Sep!B44&gt;קריטריונים!$B$3),Sep!E44,"")</f>
        <v>-0.16999692591454041</v>
      </c>
      <c r="Q43" s="113">
        <f>IF(AND(ABS(Aug!K44)&gt;קריטריונים!$B$2,Aug!B44&gt;קריטריונים!$B$3),Aug!K44,"")</f>
        <v>5.4168758271345929E-2</v>
      </c>
      <c r="R43" s="113">
        <f>IF(AND(ABS(Aug!J44)&gt;קריטריונים!$B$2,Aug!B44&gt;קריטריונים!$B$3),Aug!J44,"")</f>
        <v>9.0239758353785282E-2</v>
      </c>
      <c r="S43" s="113">
        <f>IF(AND(ABS(Aug!F44)&gt;קריטריונים!$B$1,Aug!B44&gt;קריטריונים!$B$3),Aug!F44,"")</f>
        <v>3.0110935023771823E-2</v>
      </c>
      <c r="T43" s="113">
        <f>IF(AND(ABS(Aug!E44)&gt;קריטריונים!$B$1,Aug!B44&gt;קריטריונים!$B$3),Aug!E44,"")</f>
        <v>0.22989593188268698</v>
      </c>
      <c r="U43" s="113">
        <f>IF(AND(ABS(Jul!K44)&gt;קריטריונים!$B$2,Jul!B44&gt;קריטריונים!$B$3),Jul!K44,"")</f>
        <v>-6.4482270798156383E-2</v>
      </c>
      <c r="V43" s="113">
        <f>IF(AND(ABS(Jul!J44)&gt;קריטריונים!$B$2,Jul!B44&gt;קריטריונים!$B$3),Jul!J44,"")</f>
        <v>7.4761455384292796E-2</v>
      </c>
      <c r="W43" s="113">
        <f>IF(AND(ABS(Jul!F44)&gt;קריטריונים!$B$1,Jul!B44&gt;קריטריונים!$B$3),Jul!F44,"")</f>
        <v>-5.6900345803206576E-2</v>
      </c>
      <c r="X43" s="113">
        <f>IF(AND(ABS(Jul!E44)&gt;קריטריונים!$B$1,Jul!B44&gt;קריטריונים!$B$3),Jul!E44,"")</f>
        <v>2.1102791014295352E-2</v>
      </c>
      <c r="Y43" s="113">
        <f>IF(AND(ABS(Jun!K44)&gt;קריטריונים!$B$2,Jun!B44&gt;קריטריונים!$B$3),Jun!K44,"")</f>
        <v>5.7721365971592498E-2</v>
      </c>
      <c r="Z43" s="113">
        <f>IF(AND(ABS(Jun!J44)&gt;קריטריונים!$B$2,Jun!B44&gt;קריטריונים!$B$3),Jun!J44,"")</f>
        <v>8.4531482399603508E-2</v>
      </c>
      <c r="AA43" s="113">
        <f>IF(AND(ABS(Jun!F44)&gt;קריטריונים!$B$1,Jun!B44&gt;קריטריונים!$B$3),Jun!F44,"")</f>
        <v>-2.6479750778816258E-2</v>
      </c>
      <c r="AB43" s="113">
        <f>IF(AND(ABS(Jun!E44)&gt;קריטריונים!$B$1,Jun!B44&gt;קריטריונים!$B$3),Jun!E44,"")</f>
        <v>-5.374716124148371E-2</v>
      </c>
      <c r="AC43" s="113">
        <f>IF(AND(ABS(May!K44)&gt;קריטריונים!$B$2,May!B44&gt;קריטריונים!$B$3),May!K44,"")</f>
        <v>9.9706744868035102E-2</v>
      </c>
      <c r="AD43" s="113">
        <f>IF(AND(ABS(May!J44)&gt;קריטריונים!$B$2,May!B44&gt;קריטריונים!$B$3),May!J44,"")</f>
        <v>0.11160515784793246</v>
      </c>
      <c r="AE43" s="113">
        <f>IF(AND(ABS(May!F44)&gt;קריטריונים!$B$1,May!B44&gt;קריטריונים!$B$3),May!F44,"")</f>
        <v>0.11002285341168783</v>
      </c>
      <c r="AF43" s="113">
        <f>IF(AND(ABS(May!E44)&gt;קריטריונים!$B$1,May!B44&gt;קריטריונים!$B$3),May!E44,"")</f>
        <v>-2.3549684089603784E-2</v>
      </c>
      <c r="AG43" s="113">
        <f>IF(AND(ABS(Apr!K44)&gt;קריטריונים!$B$2,Apr!B44&gt;קריטריונים!$B$3),Apr!K44,"")</f>
        <v>9.6719296586933901E-2</v>
      </c>
      <c r="AH43" s="113">
        <f>IF(AND(ABS(Apr!J44)&gt;קריטריונים!$B$2,Apr!B44&gt;קריטריונים!$B$3),Apr!J44,"")</f>
        <v>0.15860966839792234</v>
      </c>
      <c r="AI43" s="113">
        <f>IF(AND(ABS(Apr!F44)&gt;קריטריונים!$B$1,Apr!B44&gt;קריטריונים!$B$3),Apr!F44,"")</f>
        <v>0.14427860696517425</v>
      </c>
      <c r="AJ43" s="113">
        <f>IF(AND(ABS(Apr!E44)&gt;קריטריונים!$B$1,Apr!B44&gt;קריטריונים!$B$3),Apr!E44,"")</f>
        <v>0.56675749318801083</v>
      </c>
      <c r="AK43" s="113">
        <f>IF(AND(ABS(Mar!K44)&gt;קריטריונים!$B$2,Mar!B44&gt;קריטריונים!$B$3),Mar!K44,"")</f>
        <v>6.7561384779624811E-2</v>
      </c>
      <c r="AL43" s="113">
        <f>IF(AND(ABS(Mar!J44)&gt;קריטריונים!$B$2,Mar!B44&gt;קריטריונים!$B$3),Mar!J44,"")</f>
        <v>-1.0740531373657491E-2</v>
      </c>
      <c r="AM43" s="113">
        <f>IF(AND(ABS(Mar!F44)&gt;קריטריונים!$B$1,Mar!B44&gt;קריטריונים!$B$3),Mar!F44,"")</f>
        <v>-5.6603773584905537E-2</v>
      </c>
      <c r="AN43" s="113">
        <f>IF(AND(ABS(Mar!E44)&gt;קריטריונים!$B$1,Mar!B44&gt;קריטריונים!$B$3),Mar!E44,"")</f>
        <v>-0.14670167377748611</v>
      </c>
      <c r="AO43" s="113">
        <f>IF(AND(ABS(Feb!K44)&gt;קריטריונים!$B$2,Feb!B44&gt;קריטריונים!$B$3),Feb!K44,"")</f>
        <v>0.15759010786635108</v>
      </c>
      <c r="AP43" s="113">
        <f>IF(AND(ABS(Feb!J44)&gt;קריטריונים!$B$2,Feb!B44&gt;קריטריונים!$B$3),Feb!J44,"")</f>
        <v>9.208240258128586E-2</v>
      </c>
      <c r="AQ43" s="113">
        <f>IF(AND(ABS(Feb!F44)&gt;קריטריונים!$B$1,Feb!B44&gt;קריטריונים!$B$3),Feb!F44,"")</f>
        <v>0.17806977797915735</v>
      </c>
      <c r="AR43" s="113">
        <f>IF(AND(ABS(Feb!G44)&gt;קריטריונים!$B$1,Feb!C44&gt;קריטריונים!$B$3),Feb!G44,"")</f>
        <v>4.4000000000000004</v>
      </c>
      <c r="AS43" s="113">
        <f>IF(AND(ABS(Feb!H44)&gt;קריטריונים!$B$1,Feb!D44&gt;קריטריונים!$B$3),Feb!H44,"")</f>
        <v>4.0289999999999999</v>
      </c>
      <c r="AT43" s="103">
        <f>IF(AND(ABS(Jan!E44)&gt;קריטריונים!$B$1,Jan!B44&gt;קריטריונים!$B$3),Jan!E44,"")</f>
        <v>6.8883610451306421E-2</v>
      </c>
      <c r="AU43" s="118" t="s">
        <v>35</v>
      </c>
    </row>
    <row r="44" spans="1:47">
      <c r="A44" s="112" t="str">
        <f>IF(AND(ABS(Dec!K45)&gt;קריטריונים!$B$2,Dec!B45&gt;קריטריונים!$B$3),Dec!K45,"")</f>
        <v/>
      </c>
      <c r="B44" s="113" t="str">
        <f>IF(AND(ABS(Dec!J45)&gt;קריטריונים!$B$2,Dec!B45&gt;קריטריונים!$B$3),Dec!J45,"")</f>
        <v/>
      </c>
      <c r="C44" s="113" t="str">
        <f>IF(AND(ABS(Dec!F45)&gt;קריטריונים!$B$1,Dec!B45&gt;קריטריונים!$B$3),Dec!F45,"")</f>
        <v/>
      </c>
      <c r="D44" s="113" t="str">
        <f>IF(AND(ABS(Dec!E45)&gt;קריטריונים!$B$1,Dec!B45&gt;קריטריונים!$B$3),Dec!E45,"")</f>
        <v/>
      </c>
      <c r="E44" s="113">
        <f>IF(AND(ABS(Nov!K45)&gt;קריטריונים!$B$2,Nov!B45&gt;קריטריונים!$B$3),Nov!K45,"")</f>
        <v>4.6463725043035531E-2</v>
      </c>
      <c r="F44" s="113">
        <f>IF(AND(ABS(Nov!J45)&gt;קריטריונים!$B$2,Nov!B45&gt;קריטריונים!$B$3),Nov!J45,"")</f>
        <v>8.2074083089597183E-2</v>
      </c>
      <c r="G44" s="113">
        <f>IF(AND(ABS(Nov!F45)&gt;קריטריונים!$B$1,Nov!B45&gt;קריטריונים!$B$3),Nov!F45,"")</f>
        <v>0.31887094786145687</v>
      </c>
      <c r="H44" s="113">
        <f>IF(AND(ABS(Nov!E45)&gt;קריטריונים!$B$1,Nov!B45&gt;קריטריונים!$B$3),Nov!E45,"")</f>
        <v>-7.4710496824814676E-4</v>
      </c>
      <c r="I44" s="113">
        <f>IF(AND(ABS(Oct!K45)&gt;קריטריונים!$B$2,Oct!B45&gt;קריטריונים!$B$3),Oct!K45,"")</f>
        <v>2.9173609970192693E-2</v>
      </c>
      <c r="J44" s="113">
        <f>IF(AND(ABS(Oct!J45)&gt;קריטריונים!$B$2,Oct!B45&gt;קריטריונים!$B$3),Oct!J45,"")</f>
        <v>8.9418438541645218E-2</v>
      </c>
      <c r="K44" s="113">
        <f>IF(AND(ABS(Oct!F45)&gt;קריטריונים!$B$1,Oct!B45&gt;קריטריונים!$B$3),Oct!F45,"")</f>
        <v>0.34198977186173862</v>
      </c>
      <c r="L44" s="113">
        <f>IF(AND(ABS(Oct!E45)&gt;קריטריונים!$B$1,Oct!B45&gt;קריטריונים!$B$3),Oct!E45,"")</f>
        <v>0.45675026575849431</v>
      </c>
      <c r="M44" s="113">
        <f>IF(AND(ABS(Sep!K45)&gt;קריטריונים!$B$2,Sep!B45&gt;קריטריונים!$B$3),Sep!K45,"")</f>
        <v>-8.6420456787579258E-3</v>
      </c>
      <c r="N44" s="113">
        <f>IF(AND(ABS(Sep!J45)&gt;קריטריונים!$B$2,Sep!B45&gt;קריטריונים!$B$3),Sep!J45,"")</f>
        <v>4.624582380868647E-2</v>
      </c>
      <c r="O44" s="113">
        <f>IF(AND(ABS(Sep!F45)&gt;קריטריונים!$B$1,Sep!B45&gt;קריטריונים!$B$3),Sep!F45,"")</f>
        <v>-1.0225485055060379E-2</v>
      </c>
      <c r="P44" s="113">
        <f>IF(AND(ABS(Sep!E45)&gt;קריטריונים!$B$1,Sep!B45&gt;קריטריונים!$B$3),Sep!E45,"")</f>
        <v>-6.8016294284656387E-2</v>
      </c>
      <c r="Q44" s="113">
        <f>IF(AND(ABS(Aug!K45)&gt;קריטריונים!$B$2,Aug!B45&gt;קריטריונים!$B$3),Aug!K45,"")</f>
        <v>-8.5285341728731368E-3</v>
      </c>
      <c r="R44" s="113">
        <f>IF(AND(ABS(Aug!J45)&gt;קריטריונים!$B$2,Aug!B45&gt;קריטריונים!$B$3),Aug!J45,"")</f>
        <v>5.5506643188730553E-2</v>
      </c>
      <c r="S44" s="113">
        <f>IF(AND(ABS(Aug!F45)&gt;קריטריונים!$B$1,Aug!B45&gt;קריטריונים!$B$3),Aug!F45,"")</f>
        <v>-8.9125560538116599E-2</v>
      </c>
      <c r="T44" s="113">
        <f>IF(AND(ABS(Aug!E45)&gt;קריטריונים!$B$1,Aug!B45&gt;קריטריונים!$B$3),Aug!E45,"")</f>
        <v>5.1308363263213863E-4</v>
      </c>
      <c r="U44" s="113">
        <f>IF(AND(ABS(Jul!K45)&gt;קריטריונים!$B$2,Jul!B45&gt;קריטריונים!$B$3),Jul!K45,"")</f>
        <v>-0.19178629325940366</v>
      </c>
      <c r="V44" s="113">
        <f>IF(AND(ABS(Jul!J45)&gt;קריטריונים!$B$2,Jul!B45&gt;קריטריונים!$B$3),Jul!J45,"")</f>
        <v>6.8827521065844666E-2</v>
      </c>
      <c r="W44" s="113">
        <f>IF(AND(ABS(Jul!F45)&gt;קריטריונים!$B$1,Jul!B45&gt;קריטריונים!$B$3),Jul!F45,"")</f>
        <v>-0.18181579016600458</v>
      </c>
      <c r="X44" s="113">
        <f>IF(AND(ABS(Jul!E45)&gt;קריטריונים!$B$1,Jul!B45&gt;קריטריונים!$B$3),Jul!E45,"")</f>
        <v>-1.1505943678087771E-2</v>
      </c>
      <c r="Y44" s="113">
        <f>IF(AND(ABS(Jun!K45)&gt;קריטריונים!$B$2,Jun!B45&gt;קריטריונים!$B$3),Jun!K45,"")</f>
        <v>5.8753691360900584E-2</v>
      </c>
      <c r="Z44" s="113">
        <f>IF(AND(ABS(Jun!J45)&gt;קריטריונים!$B$2,Jun!B45&gt;קריטריונים!$B$3),Jun!J45,"")</f>
        <v>8.8350249494060007E-2</v>
      </c>
      <c r="AA44" s="113">
        <f>IF(AND(ABS(Jun!F45)&gt;קריטריונים!$B$1,Jun!B45&gt;קריטריונים!$B$3),Jun!F45,"")</f>
        <v>0.20402441035790853</v>
      </c>
      <c r="AB44" s="113">
        <f>IF(AND(ABS(Jun!E45)&gt;קריטריונים!$B$1,Jun!B45&gt;קריטריונים!$B$3),Jun!E45,"")</f>
        <v>5.2328095718610301E-2</v>
      </c>
      <c r="AC44" s="113">
        <f>IF(AND(ABS(May!K45)&gt;קריטריונים!$B$2,May!B45&gt;קריטריונים!$B$3),May!K45,"")</f>
        <v>4.5703389309220688E-2</v>
      </c>
      <c r="AD44" s="113">
        <f>IF(AND(ABS(May!J45)&gt;קריטריונים!$B$2,May!B45&gt;קריטריונים!$B$3),May!J45,"")</f>
        <v>9.5249928670697814E-2</v>
      </c>
      <c r="AE44" s="113">
        <f>IF(AND(ABS(May!F45)&gt;קריטריונים!$B$1,May!B45&gt;קריטריונים!$B$3),May!F45,"")</f>
        <v>5.0562801500803944E-2</v>
      </c>
      <c r="AF44" s="113">
        <f>IF(AND(ABS(May!E45)&gt;קריטריונים!$B$1,May!B45&gt;קריטריונים!$B$3),May!E45,"")</f>
        <v>0.20962764863196859</v>
      </c>
      <c r="AG44" s="113">
        <f>IF(AND(ABS(Apr!K45)&gt;קריטריונים!$B$2,Apr!B45&gt;קריטריונים!$B$3),Apr!K45,"")</f>
        <v>4.4118675274430696E-2</v>
      </c>
      <c r="AH44" s="113">
        <f>IF(AND(ABS(Apr!J45)&gt;קריטריונים!$B$2,Apr!B45&gt;קריטריונים!$B$3),Apr!J45,"")</f>
        <v>6.2291039290541139E-2</v>
      </c>
      <c r="AI44" s="113">
        <f>IF(AND(ABS(Apr!F45)&gt;קריטריונים!$B$1,Apr!B45&gt;קריטריונים!$B$3),Apr!F45,"")</f>
        <v>7.5137818658057354E-2</v>
      </c>
      <c r="AJ44" s="113">
        <f>IF(AND(ABS(Apr!E45)&gt;קריטריונים!$B$1,Apr!B45&gt;קריטריונים!$B$3),Apr!E45,"")</f>
        <v>8.5018749615786593E-2</v>
      </c>
      <c r="AK44" s="113">
        <f>IF(AND(ABS(Mar!K45)&gt;קריטריונים!$B$2,Mar!B45&gt;קריטריונים!$B$3),Mar!K45,"")</f>
        <v>2.4895717332628742E-2</v>
      </c>
      <c r="AL44" s="113">
        <f>IF(AND(ABS(Mar!J45)&gt;קריטריונים!$B$2,Mar!B45&gt;קריטריונים!$B$3),Mar!J45,"")</f>
        <v>4.8019763761290912E-2</v>
      </c>
      <c r="AM44" s="113">
        <f>IF(AND(ABS(Mar!F45)&gt;קריטריונים!$B$1,Mar!B45&gt;קריטריונים!$B$3),Mar!F45,"")</f>
        <v>-3.5323478594739721E-2</v>
      </c>
      <c r="AN44" s="113">
        <f>IF(AND(ABS(Mar!E45)&gt;קריטריונים!$B$1,Mar!B45&gt;קריטריונים!$B$3),Mar!E45,"")</f>
        <v>6.1302075083161878E-2</v>
      </c>
      <c r="AO44" s="113">
        <f>IF(AND(ABS(Feb!K45)&gt;קריטריונים!$B$2,Feb!B45&gt;קריטריונים!$B$3),Feb!K45,"")</f>
        <v>6.3929071395240289E-2</v>
      </c>
      <c r="AP44" s="113">
        <f>IF(AND(ABS(Feb!J45)&gt;קריטריונים!$B$2,Feb!B45&gt;קריטריונים!$B$3),Feb!J45,"")</f>
        <v>4.0367474827366134E-2</v>
      </c>
      <c r="AQ44" s="113">
        <f>IF(AND(ABS(Feb!F45)&gt;קריטריונים!$B$1,Feb!B45&gt;קריטריונים!$B$3),Feb!F45,"")</f>
        <v>1.114612237219581E-2</v>
      </c>
      <c r="AR44" s="113">
        <f>IF(AND(ABS(Feb!G45)&gt;קריטריונים!$B$1,Feb!C45&gt;קריטריונים!$B$3),Feb!G45,"")</f>
        <v>34.200000000000003</v>
      </c>
      <c r="AS44" s="113">
        <f>IF(AND(ABS(Feb!H45)&gt;קריטריונים!$B$1,Feb!D45&gt;קריטריונים!$B$3),Feb!H45,"")</f>
        <v>32.872999999999998</v>
      </c>
      <c r="AT44" s="103">
        <f>IF(AND(ABS(Jan!E45)&gt;קריטריונים!$B$1,Jan!B45&gt;קריטריונים!$B$3),Jan!E45,"")</f>
        <v>8.2878581173260635E-2</v>
      </c>
      <c r="AU44" s="118" t="s">
        <v>36</v>
      </c>
    </row>
    <row r="45" spans="1:47">
      <c r="A45" s="112" t="str">
        <f>IF(AND(ABS(Dec!K46)&gt;קריטריונים!$B$2,Dec!B46&gt;קריטריונים!$B$3),Dec!K46,"")</f>
        <v/>
      </c>
      <c r="B45" s="113" t="str">
        <f>IF(AND(ABS(Dec!J46)&gt;קריטריונים!$B$2,Dec!B46&gt;קריטריונים!$B$3),Dec!J46,"")</f>
        <v/>
      </c>
      <c r="C45" s="113" t="str">
        <f>IF(AND(ABS(Dec!F46)&gt;קריטריונים!$B$1,Dec!B46&gt;קריטריונים!$B$3),Dec!F46,"")</f>
        <v/>
      </c>
      <c r="D45" s="113" t="str">
        <f>IF(AND(ABS(Dec!E46)&gt;קריטריונים!$B$1,Dec!B46&gt;קריטריונים!$B$3),Dec!E46,"")</f>
        <v/>
      </c>
      <c r="E45" s="113">
        <f>IF(AND(ABS(Nov!K46)&gt;קריטריונים!$B$2,Nov!B46&gt;קריטריונים!$B$3),Nov!K46,"")</f>
        <v>0.20992213628087741</v>
      </c>
      <c r="F45" s="113">
        <f>IF(AND(ABS(Nov!J46)&gt;קריטריונים!$B$2,Nov!B46&gt;קריטריונים!$B$3),Nov!J46,"")</f>
        <v>0.31036122337673211</v>
      </c>
      <c r="G45" s="113">
        <f>IF(AND(ABS(Nov!F46)&gt;קריטריונים!$B$1,Nov!B46&gt;קריטריונים!$B$3),Nov!F46,"")</f>
        <v>1.2090729783037473</v>
      </c>
      <c r="H45" s="113">
        <f>IF(AND(ABS(Nov!E46)&gt;קריטריונים!$B$1,Nov!B46&gt;קריטריונים!$B$3),Nov!E46,"")</f>
        <v>0.46061554512258729</v>
      </c>
      <c r="I45" s="113">
        <f>IF(AND(ABS(Oct!K46)&gt;קריטריונים!$B$2,Oct!B46&gt;קריטריונים!$B$3),Oct!K46,"")</f>
        <v>0.13992787365453951</v>
      </c>
      <c r="J45" s="113">
        <f>IF(AND(ABS(Oct!J46)&gt;קריטריונים!$B$2,Oct!B46&gt;קריטריונים!$B$3),Oct!J46,"")</f>
        <v>0.29231347608828417</v>
      </c>
      <c r="K45" s="113">
        <f>IF(AND(ABS(Oct!F46)&gt;קריטריונים!$B$1,Oct!B46&gt;קריטריונים!$B$3),Oct!F46,"")</f>
        <v>0.38368405880657241</v>
      </c>
      <c r="L45" s="113">
        <f>IF(AND(ABS(Oct!E46)&gt;קריטריונים!$B$1,Oct!B46&gt;קריטריונים!$B$3),Oct!E46,"")</f>
        <v>0.71336783865786191</v>
      </c>
      <c r="M45" s="113">
        <f>IF(AND(ABS(Sep!K46)&gt;קריטריונים!$B$2,Sep!B46&gt;קריטריונים!$B$3),Sep!K46,"")</f>
        <v>0.11408267746618761</v>
      </c>
      <c r="N45" s="113">
        <f>IF(AND(ABS(Sep!J46)&gt;קריטריונים!$B$2,Sep!B46&gt;קריטריונים!$B$3),Sep!J46,"")</f>
        <v>0.25180300844838222</v>
      </c>
      <c r="O45" s="113">
        <f>IF(AND(ABS(Sep!F46)&gt;קריטריונים!$B$1,Sep!B46&gt;קריטריונים!$B$3),Sep!F46,"")</f>
        <v>0.36736554238833175</v>
      </c>
      <c r="P45" s="113">
        <f>IF(AND(ABS(Sep!E46)&gt;קריטריונים!$B$1,Sep!B46&gt;קריטריונים!$B$3),Sep!E46,"")</f>
        <v>1.736299511665762E-2</v>
      </c>
      <c r="Q45" s="113">
        <f>IF(AND(ABS(Aug!K46)&gt;קריטריונים!$B$2,Aug!B46&gt;קריטריונים!$B$3),Aug!K46,"")</f>
        <v>9.0909090909090606E-2</v>
      </c>
      <c r="R45" s="113">
        <f>IF(AND(ABS(Aug!J46)&gt;קריטריונים!$B$2,Aug!B46&gt;קריטריונים!$B$3),Aug!J46,"")</f>
        <v>0.28578169235608653</v>
      </c>
      <c r="S45" s="113">
        <f>IF(AND(ABS(Aug!F46)&gt;קריטריונים!$B$1,Aug!B46&gt;קריטריונים!$B$3),Aug!F46,"")</f>
        <v>6.4701653486698429E-3</v>
      </c>
      <c r="T45" s="113">
        <f>IF(AND(ABS(Aug!E46)&gt;קריטריונים!$B$1,Aug!B46&gt;קריטריונים!$B$3),Aug!E46,"")</f>
        <v>0.29330254041570436</v>
      </c>
      <c r="U45" s="113">
        <f>IF(AND(ABS(Jul!K46)&gt;קריטריונים!$B$2,Jul!B46&gt;קריטריונים!$B$3),Jul!K46,"")</f>
        <v>-9.5913261050875831E-2</v>
      </c>
      <c r="V45" s="113">
        <f>IF(AND(ABS(Jul!J46)&gt;קריטריונים!$B$2,Jul!B46&gt;קריטריונים!$B$3),Jul!J46,"")</f>
        <v>0.28423846080940152</v>
      </c>
      <c r="W45" s="113">
        <f>IF(AND(ABS(Jul!F46)&gt;קריטריונים!$B$1,Jul!B46&gt;קריטריונים!$B$3),Jul!F46,"")</f>
        <v>-1.403109594235874E-2</v>
      </c>
      <c r="X45" s="113">
        <f>IF(AND(ABS(Jul!E46)&gt;קריטריונים!$B$1,Jul!B46&gt;קריטריונים!$B$3),Jul!E46,"")</f>
        <v>0.30500250962021069</v>
      </c>
      <c r="Y45" s="113">
        <f>IF(AND(ABS(Jun!K46)&gt;קריטריונים!$B$2,Jun!B46&gt;קריטריונים!$B$3),Jun!K46,"")</f>
        <v>0.11233638586565653</v>
      </c>
      <c r="Z45" s="113">
        <f>IF(AND(ABS(Jun!J46)&gt;קריטריונים!$B$2,Jun!B46&gt;קריטריונים!$B$3),Jun!J46,"")</f>
        <v>0.28081265354569784</v>
      </c>
      <c r="AA45" s="113">
        <f>IF(AND(ABS(Jun!F46)&gt;קריטריונים!$B$1,Jun!B46&gt;קריטריונים!$B$3),Jun!F46,"")</f>
        <v>0.19705340699815843</v>
      </c>
      <c r="AB45" s="113">
        <f>IF(AND(ABS(Jun!E46)&gt;קריטריונים!$B$1,Jun!B46&gt;קריטריונים!$B$3),Jun!E46,"")</f>
        <v>0.25381771419385957</v>
      </c>
      <c r="AC45" s="113">
        <f>IF(AND(ABS(May!K46)&gt;קריטריונים!$B$2,May!B46&gt;קריטריונים!$B$3),May!K46,"")</f>
        <v>0.12225614188108724</v>
      </c>
      <c r="AD45" s="113">
        <f>IF(AND(ABS(May!J46)&gt;קריטריונים!$B$2,May!B46&gt;קריטריונים!$B$3),May!J46,"")</f>
        <v>0.28640938478970868</v>
      </c>
      <c r="AE45" s="113">
        <f>IF(AND(ABS(May!F46)&gt;קריטריונים!$B$1,May!B46&gt;קריטריונים!$B$3),May!F46,"")</f>
        <v>7.0460704607046232E-2</v>
      </c>
      <c r="AF45" s="113">
        <f>IF(AND(ABS(May!E46)&gt;קריטריונים!$B$1,May!B46&gt;קריטריונים!$B$3),May!E46,"")</f>
        <v>0.11251936346993396</v>
      </c>
      <c r="AG45" s="113">
        <f>IF(AND(ABS(Apr!K46)&gt;קריטריונים!$B$2,Apr!B46&gt;קריטריונים!$B$3),Apr!K46,"")</f>
        <v>0.13640570053673873</v>
      </c>
      <c r="AH45" s="113">
        <f>IF(AND(ABS(Apr!J46)&gt;קריטריונים!$B$2,Apr!B46&gt;קריטריונים!$B$3),Apr!J46,"")</f>
        <v>0.34031870770574102</v>
      </c>
      <c r="AI45" s="113">
        <f>IF(AND(ABS(Apr!F46)&gt;קריטריונים!$B$1,Apr!B46&gt;קריטריונים!$B$3),Apr!F46,"")</f>
        <v>0.28593040847201201</v>
      </c>
      <c r="AJ45" s="113">
        <f>IF(AND(ABS(Apr!E46)&gt;קריטריונים!$B$1,Apr!B46&gt;קריטריונים!$B$3),Apr!E46,"")</f>
        <v>0.47143681477207133</v>
      </c>
      <c r="AK45" s="113">
        <f>IF(AND(ABS(Mar!K46)&gt;קריטריונים!$B$2,Mar!B46&gt;קריטריונים!$B$3),Mar!K46,"")</f>
        <v>7.4254572132264496E-2</v>
      </c>
      <c r="AL45" s="113">
        <f>IF(AND(ABS(Mar!J46)&gt;קריטריונים!$B$2,Mar!B46&gt;קריטריונים!$B$3),Mar!J46,"")</f>
        <v>0.28341576410192215</v>
      </c>
      <c r="AM45" s="113">
        <f>IF(AND(ABS(Mar!F46)&gt;קריטריונים!$B$1,Mar!B46&gt;קריטריונים!$B$3),Mar!F46,"")</f>
        <v>0.14089347079037795</v>
      </c>
      <c r="AN45" s="113">
        <f>IF(AND(ABS(Mar!E46)&gt;קריטריונים!$B$1,Mar!B46&gt;קריטריונים!$B$3),Mar!E46,"")</f>
        <v>0.18826055833929844</v>
      </c>
      <c r="AO45" s="113">
        <f>IF(AND(ABS(Feb!K46)&gt;קריטריונים!$B$2,Feb!B46&gt;קריטריונים!$B$3),Feb!K46,"")</f>
        <v>3.3197831978319714E-2</v>
      </c>
      <c r="AP45" s="113">
        <f>IF(AND(ABS(Feb!J46)&gt;קריטריונים!$B$2,Feb!B46&gt;קריטריונים!$B$3),Feb!J46,"")</f>
        <v>0.35736537605696483</v>
      </c>
      <c r="AQ45" s="113">
        <f>IF(AND(ABS(Feb!F46)&gt;קריטריונים!$B$1,Feb!B46&gt;קריטריונים!$B$3),Feb!F46,"")</f>
        <v>2.3108131945669408E-2</v>
      </c>
      <c r="AR45" s="113">
        <f>IF(AND(ABS(Feb!G46)&gt;קריטריונים!$B$1,Feb!C46&gt;קריטריונים!$B$3),Feb!G46,"")</f>
        <v>12.2</v>
      </c>
      <c r="AS45" s="113">
        <f>IF(AND(ABS(Feb!H46)&gt;קריטריונים!$B$1,Feb!D46&gt;קריטריונים!$B$3),Feb!H46,"")</f>
        <v>8.9879999999999995</v>
      </c>
      <c r="AT45" s="103">
        <f>IF(AND(ABS(Jan!E46)&gt;קריטריונים!$B$1,Jan!B46&gt;קריטריונים!$B$3),Jan!E46,"")</f>
        <v>0.46822665749025005</v>
      </c>
      <c r="AU45" s="118" t="s">
        <v>37</v>
      </c>
    </row>
    <row r="46" spans="1:47">
      <c r="A46" s="112" t="str">
        <f>IF(AND(ABS(Dec!K47)&gt;קריטריונים!$B$2,Dec!B47&gt;קריטריונים!$B$3),Dec!K47,"")</f>
        <v/>
      </c>
      <c r="B46" s="113" t="str">
        <f>IF(AND(ABS(Dec!J47)&gt;קריטריונים!$B$2,Dec!B47&gt;קריטריונים!$B$3),Dec!J47,"")</f>
        <v/>
      </c>
      <c r="C46" s="113" t="str">
        <f>IF(AND(ABS(Dec!F47)&gt;קריטריונים!$B$1,Dec!B47&gt;קריטריונים!$B$3),Dec!F47,"")</f>
        <v/>
      </c>
      <c r="D46" s="113" t="str">
        <f>IF(AND(ABS(Dec!E47)&gt;קריטריונים!$B$1,Dec!B47&gt;קריטריונים!$B$3),Dec!E47,"")</f>
        <v/>
      </c>
      <c r="E46" s="113">
        <f>IF(AND(ABS(Nov!K47)&gt;קריטריונים!$B$2,Nov!B47&gt;קריטריונים!$B$3),Nov!K47,"")</f>
        <v>0.27620013522650422</v>
      </c>
      <c r="F46" s="113">
        <f>IF(AND(ABS(Nov!J47)&gt;קריטריונים!$B$2,Nov!B47&gt;קריטריונים!$B$3),Nov!J47,"")</f>
        <v>0.18713802772609345</v>
      </c>
      <c r="G46" s="113">
        <f>IF(AND(ABS(Nov!F47)&gt;קריטריונים!$B$1,Nov!B47&gt;קריטריונים!$B$3),Nov!F47,"")</f>
        <v>0.65464573610521826</v>
      </c>
      <c r="H46" s="113">
        <f>IF(AND(ABS(Nov!E47)&gt;קריטריונים!$B$1,Nov!B47&gt;קריטריונים!$B$3),Nov!E47,"")</f>
        <v>0.15078194157568614</v>
      </c>
      <c r="I46" s="113">
        <f>IF(AND(ABS(Oct!K47)&gt;קריטריונים!$B$2,Oct!B47&gt;קריטריונים!$B$3),Oct!K47,"")</f>
        <v>0.24928332176589496</v>
      </c>
      <c r="J46" s="113">
        <f>IF(AND(ABS(Oct!J47)&gt;קריטריונים!$B$2,Oct!B47&gt;קריטריונים!$B$3),Oct!J47,"")</f>
        <v>0.19068162208800699</v>
      </c>
      <c r="K46" s="113">
        <f>IF(AND(ABS(Oct!F47)&gt;קריטריונים!$B$1,Oct!B47&gt;קריטריונים!$B$3),Oct!F47,"")</f>
        <v>0.6662963785825371</v>
      </c>
      <c r="L46" s="113">
        <f>IF(AND(ABS(Oct!E47)&gt;קריטריונים!$B$1,Oct!B47&gt;קריטריונים!$B$3),Oct!E47,"")</f>
        <v>0.43678160919540243</v>
      </c>
      <c r="M46" s="113">
        <f>IF(AND(ABS(Sep!K47)&gt;קריטריונים!$B$2,Sep!B47&gt;קריטריונים!$B$3),Sep!K47,"")</f>
        <v>0.18374188141629988</v>
      </c>
      <c r="N46" s="113">
        <f>IF(AND(ABS(Sep!J47)&gt;קריטריונים!$B$2,Sep!B47&gt;קריטריונים!$B$3),Sep!J47,"")</f>
        <v>0.14720812182741128</v>
      </c>
      <c r="O46" s="113">
        <f>IF(AND(ABS(Sep!F47)&gt;קריטריונים!$B$1,Sep!B47&gt;קריטריונים!$B$3),Sep!F47,"")</f>
        <v>0.22986822840409959</v>
      </c>
      <c r="P46" s="113">
        <f>IF(AND(ABS(Sep!E47)&gt;קריטריונים!$B$1,Sep!B47&gt;קריטריונים!$B$3),Sep!E47,"")</f>
        <v>9.1302258529553093E-3</v>
      </c>
      <c r="Q46" s="113">
        <f>IF(AND(ABS(Aug!K47)&gt;קריטריונים!$B$2,Aug!B47&gt;קריטריונים!$B$3),Aug!K47,"")</f>
        <v>0.17749672917575232</v>
      </c>
      <c r="R46" s="113">
        <f>IF(AND(ABS(Aug!J47)&gt;קריטריונים!$B$2,Aug!B47&gt;קריטריונים!$B$3),Aug!J47,"")</f>
        <v>0.16984402079722716</v>
      </c>
      <c r="S46" s="113">
        <f>IF(AND(ABS(Aug!F47)&gt;קריטריונים!$B$1,Aug!B47&gt;קריטריונים!$B$3),Aug!F47,"")</f>
        <v>4.5946955547254253E-2</v>
      </c>
      <c r="T46" s="113">
        <f>IF(AND(ABS(Aug!E47)&gt;קריטריונים!$B$1,Aug!B47&gt;קריטריונים!$B$3),Aug!E47,"")</f>
        <v>0.24610591900311518</v>
      </c>
      <c r="U46" s="113">
        <f>IF(AND(ABS(Jul!K47)&gt;קריטריונים!$B$2,Jul!B47&gt;קריטריונים!$B$3),Jul!K47,"")</f>
        <v>6.6486936526186424E-2</v>
      </c>
      <c r="V46" s="113">
        <f>IF(AND(ABS(Jul!J47)&gt;קריטריונים!$B$2,Jul!B47&gt;קריטריונים!$B$3),Jul!J47,"")</f>
        <v>0.1624389611512036</v>
      </c>
      <c r="W46" s="113">
        <f>IF(AND(ABS(Jul!F47)&gt;קריטריונים!$B$1,Jul!B47&gt;קריטריונים!$B$3),Jul!F47,"")</f>
        <v>7.2893657305143522E-2</v>
      </c>
      <c r="X46" s="113">
        <f>IF(AND(ABS(Jul!E47)&gt;קריטריונים!$B$1,Jul!B47&gt;קריטריונים!$B$3),Jul!E47,"")</f>
        <v>-5.8479532163743242E-3</v>
      </c>
      <c r="Y46" s="113">
        <f>IF(AND(ABS(Jun!K47)&gt;קריטריונים!$B$2,Jun!B47&gt;קריטריונים!$B$3),Jun!K47,"")</f>
        <v>0.19059681831999198</v>
      </c>
      <c r="Z46" s="113">
        <f>IF(AND(ABS(Jun!J47)&gt;קריטריונים!$B$2,Jun!B47&gt;קריטריונים!$B$3),Jun!J47,"")</f>
        <v>0.19162314284265514</v>
      </c>
      <c r="AA46" s="113">
        <f>IF(AND(ABS(Jun!F47)&gt;קריטריונים!$B$1,Jun!B47&gt;קריטריונים!$B$3),Jun!F47,"")</f>
        <v>0.22365737593473822</v>
      </c>
      <c r="AB46" s="113">
        <f>IF(AND(ABS(Jun!E47)&gt;קריטריונים!$B$1,Jun!B47&gt;קריטריונים!$B$3),Jun!E47,"")</f>
        <v>0.2084592145015105</v>
      </c>
      <c r="AC46" s="113">
        <f>IF(AND(ABS(May!K47)&gt;קריטריונים!$B$2,May!B47&gt;קריטריונים!$B$3),May!K47,"")</f>
        <v>0.21083054456951622</v>
      </c>
      <c r="AD46" s="113">
        <f>IF(AND(ABS(May!J47)&gt;קריטריונים!$B$2,May!B47&gt;קריטריונים!$B$3),May!J47,"")</f>
        <v>0.18862740413331758</v>
      </c>
      <c r="AE46" s="113">
        <f>IF(AND(ABS(May!F47)&gt;קריטריונים!$B$1,May!B47&gt;קריטריונים!$B$3),May!F47,"")</f>
        <v>0.15634786798361833</v>
      </c>
      <c r="AF46" s="113">
        <f>IF(AND(ABS(May!E47)&gt;קריטריונים!$B$1,May!B47&gt;קריטריונים!$B$3),May!E47,"")</f>
        <v>0.10016044006417579</v>
      </c>
      <c r="AG46" s="113">
        <f>IF(AND(ABS(Apr!K47)&gt;קריטריונים!$B$2,Apr!B47&gt;קריטריונים!$B$3),Apr!K47,"")</f>
        <v>0.22924128948225331</v>
      </c>
      <c r="AH46" s="113">
        <f>IF(AND(ABS(Apr!J47)&gt;קריטריונים!$B$2,Apr!B47&gt;קריטריונים!$B$3),Apr!J47,"")</f>
        <v>0.21980773891267491</v>
      </c>
      <c r="AI46" s="113">
        <f>IF(AND(ABS(Apr!F47)&gt;קריטריונים!$B$1,Apr!B47&gt;קריטריונים!$B$3),Apr!F47,"")</f>
        <v>0.20216389501101983</v>
      </c>
      <c r="AJ46" s="113">
        <f>IF(AND(ABS(Apr!E47)&gt;קריטריונים!$B$1,Apr!B47&gt;קריטריונים!$B$3),Apr!E47,"")</f>
        <v>0.4958863126402393</v>
      </c>
      <c r="AK46" s="113">
        <f>IF(AND(ABS(Mar!K47)&gt;קריטריונים!$B$2,Mar!B47&gt;קריטריונים!$B$3),Mar!K47,"")</f>
        <v>0.24777183600713015</v>
      </c>
      <c r="AL46" s="113">
        <f>IF(AND(ABS(Mar!J47)&gt;קריטריונים!$B$2,Mar!B47&gt;קריטריונים!$B$3),Mar!J47,"")</f>
        <v>8.7476099426386345E-2</v>
      </c>
      <c r="AM46" s="113">
        <f>IF(AND(ABS(Mar!F47)&gt;קריטריונים!$B$1,Mar!B47&gt;קריטריונים!$B$3),Mar!F47,"")</f>
        <v>0.19739993157714686</v>
      </c>
      <c r="AN46" s="113">
        <f>IF(AND(ABS(Mar!E47)&gt;קריטריונים!$B$1,Mar!B47&gt;קריטריונים!$B$3),Mar!E47,"")</f>
        <v>2.100350058343059E-2</v>
      </c>
      <c r="AO46" s="113">
        <f>IF(AND(ABS(Feb!K47)&gt;קריטריונים!$B$2,Feb!B47&gt;קריטריונים!$B$3),Feb!K47,"")</f>
        <v>0.28146453089244838</v>
      </c>
      <c r="AP46" s="113">
        <f>IF(AND(ABS(Feb!J47)&gt;קריטריונים!$B$2,Feb!B47&gt;קריטריונים!$B$3),Feb!J47,"")</f>
        <v>0.1336032388663968</v>
      </c>
      <c r="AQ46" s="113">
        <f>IF(AND(ABS(Feb!F47)&gt;קריטריונים!$B$1,Feb!B47&gt;קריטריונים!$B$3),Feb!F47,"")</f>
        <v>0.28454651615414561</v>
      </c>
      <c r="AR46" s="113">
        <f>IF(AND(ABS(Feb!G47)&gt;קריטריונים!$B$1,Feb!C47&gt;קריטריונים!$B$3),Feb!G47,"")</f>
        <v>5.6</v>
      </c>
      <c r="AS46" s="113">
        <f>IF(AND(ABS(Feb!H47)&gt;קריטריונים!$B$1,Feb!D47&gt;קריטריונים!$B$3),Feb!H47,"")</f>
        <v>4.9399999999999995</v>
      </c>
      <c r="AT46" s="103">
        <f>IF(AND(ABS(Jan!E47)&gt;קריטריונים!$B$1,Jan!B47&gt;קריטריונים!$B$3),Jan!E47,"")</f>
        <v>0.1740684022460437</v>
      </c>
      <c r="AU46" s="118" t="s">
        <v>38</v>
      </c>
    </row>
    <row r="47" spans="1:47">
      <c r="A47" s="112" t="str">
        <f>IF(AND(ABS(Dec!K48)&gt;קריטריונים!$B$2,Dec!B48&gt;קריטריונים!$B$3),Dec!K48,"")</f>
        <v/>
      </c>
      <c r="B47" s="113" t="str">
        <f>IF(AND(ABS(Dec!J48)&gt;קריטריונים!$B$2,Dec!B48&gt;קריטריונים!$B$3),Dec!J48,"")</f>
        <v/>
      </c>
      <c r="C47" s="113" t="str">
        <f>IF(AND(ABS(Dec!F48)&gt;קריטריונים!$B$1,Dec!B48&gt;קריטריונים!$B$3),Dec!F48,"")</f>
        <v/>
      </c>
      <c r="D47" s="113" t="str">
        <f>IF(AND(ABS(Dec!E48)&gt;קריטריונים!$B$1,Dec!B48&gt;קריטריונים!$B$3),Dec!E48,"")</f>
        <v/>
      </c>
      <c r="E47" s="113">
        <f>IF(AND(ABS(Nov!K48)&gt;קריטריונים!$B$2,Nov!B48&gt;קריטריונים!$B$3),Nov!K48,"")</f>
        <v>0.35527135574030755</v>
      </c>
      <c r="F47" s="113">
        <f>IF(AND(ABS(Nov!J48)&gt;קריטריונים!$B$2,Nov!B48&gt;קריטריונים!$B$3),Nov!J48,"")</f>
        <v>0.33665459735179826</v>
      </c>
      <c r="G47" s="113">
        <f>IF(AND(ABS(Nov!F48)&gt;קריטריונים!$B$1,Nov!B48&gt;קריטריונים!$B$3),Nov!F48,"")</f>
        <v>0.78571428571428559</v>
      </c>
      <c r="H47" s="113">
        <f>IF(AND(ABS(Nov!E48)&gt;קריטריונים!$B$1,Nov!B48&gt;קריטריונים!$B$3),Nov!E48,"")</f>
        <v>0.47881694644284556</v>
      </c>
      <c r="I47" s="113">
        <f>IF(AND(ABS(Oct!K48)&gt;קריטריונים!$B$2,Oct!B48&gt;קריטריונים!$B$3),Oct!K48,"")</f>
        <v>0.31616448767511707</v>
      </c>
      <c r="J47" s="113">
        <f>IF(AND(ABS(Oct!J48)&gt;קריטריונים!$B$2,Oct!B48&gt;קריטריונים!$B$3),Oct!J48,"")</f>
        <v>0.32100105621405928</v>
      </c>
      <c r="K47" s="113">
        <f>IF(AND(ABS(Oct!F48)&gt;קריטריונים!$B$1,Oct!B48&gt;קריטריונים!$B$3),Oct!F48,"")</f>
        <v>0.47578649699540465</v>
      </c>
      <c r="L47" s="113">
        <f>IF(AND(ABS(Oct!E48)&gt;קריטריונים!$B$1,Oct!B48&gt;קריטריונים!$B$3),Oct!E48,"")</f>
        <v>0.73137732621429663</v>
      </c>
      <c r="M47" s="113">
        <f>IF(AND(ABS(Sep!K48)&gt;קריטריונים!$B$2,Sep!B48&gt;קריטריונים!$B$3),Sep!K48,"")</f>
        <v>0.28453220086686204</v>
      </c>
      <c r="N47" s="113">
        <f>IF(AND(ABS(Sep!J48)&gt;קריטריונים!$B$2,Sep!B48&gt;קריטריונים!$B$3),Sep!J48,"")</f>
        <v>0.25336409073433264</v>
      </c>
      <c r="O47" s="113">
        <f>IF(AND(ABS(Sep!F48)&gt;קריטריונים!$B$1,Sep!B48&gt;קריטריונים!$B$3),Sep!F48,"")</f>
        <v>0.37952176578786023</v>
      </c>
      <c r="P47" s="113">
        <f>IF(AND(ABS(Sep!E48)&gt;קריטריונים!$B$1,Sep!B48&gt;קריטריונים!$B$3),Sep!E48,"")</f>
        <v>4.9073318568597646E-2</v>
      </c>
      <c r="Q47" s="113">
        <f>IF(AND(ABS(Aug!K48)&gt;קריטריונים!$B$2,Aug!B48&gt;קריטריונים!$B$3),Aug!K48,"")</f>
        <v>0.27227972359797148</v>
      </c>
      <c r="R47" s="113">
        <f>IF(AND(ABS(Aug!J48)&gt;קריטריונים!$B$2,Aug!B48&gt;קריטריונים!$B$3),Aug!J48,"")</f>
        <v>0.28845595522940903</v>
      </c>
      <c r="S47" s="113">
        <f>IF(AND(ABS(Aug!F48)&gt;קריטריונים!$B$1,Aug!B48&gt;קריטריונים!$B$3),Aug!F48,"")</f>
        <v>1.1522561351042349E-2</v>
      </c>
      <c r="T47" s="113">
        <f>IF(AND(ABS(Aug!E48)&gt;קריטריונים!$B$1,Aug!B48&gt;קריטריונים!$B$3),Aug!E48,"")</f>
        <v>0.2084909625893232</v>
      </c>
      <c r="U47" s="113">
        <f>IF(AND(ABS(Jul!K48)&gt;קריטריונים!$B$2,Jul!B48&gt;קריטריונים!$B$3),Jul!K48,"")</f>
        <v>0.15859505521120631</v>
      </c>
      <c r="V47" s="113">
        <f>IF(AND(ABS(Jul!J48)&gt;קריטריונים!$B$2,Jul!B48&gt;קריטריונים!$B$3),Jul!J48,"")</f>
        <v>0.29687621028869882</v>
      </c>
      <c r="W47" s="113">
        <f>IF(AND(ABS(Jul!F48)&gt;קריטריונים!$B$1,Jul!B48&gt;קריטריונים!$B$3),Jul!F48,"")</f>
        <v>0.18838885641924796</v>
      </c>
      <c r="X47" s="113">
        <f>IF(AND(ABS(Jul!E48)&gt;קריטריונים!$B$1,Jul!B48&gt;קריטריונים!$B$3),Jul!E48,"")</f>
        <v>0.30119453924914685</v>
      </c>
      <c r="Y47" s="113">
        <f>IF(AND(ABS(Jun!K48)&gt;קריטריונים!$B$2,Jun!B48&gt;קריטריונים!$B$3),Jun!K48,"")</f>
        <v>0.16231444480113355</v>
      </c>
      <c r="Z47" s="113">
        <f>IF(AND(ABS(Jun!J48)&gt;קריטריונים!$B$2,Jun!B48&gt;קריטריונים!$B$3),Jun!J48,"")</f>
        <v>0.2963763195258966</v>
      </c>
      <c r="AA47" s="113">
        <f>IF(AND(ABS(Jun!F48)&gt;קריטריונים!$B$1,Jun!B48&gt;קריטריונים!$B$3),Jun!F48,"")</f>
        <v>0.53538657218133912</v>
      </c>
      <c r="AB47" s="113">
        <f>IF(AND(ABS(Jun!E48)&gt;קריטריונים!$B$1,Jun!B48&gt;קריטריונים!$B$3),Jun!E48,"")</f>
        <v>0.61228773134897918</v>
      </c>
      <c r="AC47" s="113">
        <f>IF(AND(ABS(May!K48)&gt;קריטריונים!$B$2,May!B48&gt;קריטריונים!$B$3),May!K48,"")</f>
        <v>0.28584981390936282</v>
      </c>
      <c r="AD47" s="113">
        <f>IF(AND(ABS(May!J48)&gt;קריטריונים!$B$2,May!B48&gt;קריטריונים!$B$3),May!J48,"")</f>
        <v>0.24941500148908702</v>
      </c>
      <c r="AE47" s="113">
        <f>IF(AND(ABS(May!F48)&gt;קריטריונים!$B$1,May!B48&gt;קריטריונים!$B$3),May!F48,"")</f>
        <v>7.0844840218677874E-2</v>
      </c>
      <c r="AF47" s="113">
        <f>IF(AND(ABS(May!E48)&gt;קריטריונים!$B$1,May!B48&gt;קריטריונים!$B$3),May!E48,"")</f>
        <v>7.7437148615677742E-3</v>
      </c>
      <c r="AG47" s="113">
        <f>IF(AND(ABS(Apr!K48)&gt;קריטריונים!$B$2,Apr!B48&gt;קריטריונים!$B$3),Apr!K48,"")</f>
        <v>0.36098637044039994</v>
      </c>
      <c r="AH47" s="113">
        <f>IF(AND(ABS(Apr!J48)&gt;קריטריונים!$B$2,Apr!B48&gt;קריטריונים!$B$3),Apr!J48,"")</f>
        <v>0.33761784006659035</v>
      </c>
      <c r="AI47" s="113">
        <f>IF(AND(ABS(Apr!F48)&gt;קריטריונים!$B$1,Apr!B48&gt;קריטריונים!$B$3),Apr!F48,"")</f>
        <v>0.56585156585156571</v>
      </c>
      <c r="AJ47" s="113">
        <f>IF(AND(ABS(Apr!E48)&gt;קריטריונים!$B$1,Apr!B48&gt;קריטריונים!$B$3),Apr!E48,"")</f>
        <v>0.67009837565774411</v>
      </c>
      <c r="AK47" s="113">
        <f>IF(AND(ABS(Mar!K48)&gt;קריטריונים!$B$2,Mar!B48&gt;קריטריונים!$B$3),Mar!K48,"")</f>
        <v>0.28309683031588118</v>
      </c>
      <c r="AL47" s="113">
        <f>IF(AND(ABS(Mar!J48)&gt;קריטריונים!$B$2,Mar!B48&gt;קריטריונים!$B$3),Mar!J48,"")</f>
        <v>0.22451097390131269</v>
      </c>
      <c r="AM47" s="113">
        <f>IF(AND(ABS(Mar!F48)&gt;קריטריונים!$B$1,Mar!B48&gt;קריטריונים!$B$3),Mar!F48,"")</f>
        <v>0.26702388926099574</v>
      </c>
      <c r="AN47" s="113">
        <f>IF(AND(ABS(Mar!E48)&gt;קריטריונים!$B$1,Mar!B48&gt;קריטריונים!$B$3),Mar!E48,"")</f>
        <v>0.16823632340075134</v>
      </c>
      <c r="AO47" s="113">
        <f>IF(AND(ABS(Feb!K48)&gt;קריטריונים!$B$2,Feb!B48&gt;קריטריונים!$B$3),Feb!K48,"")</f>
        <v>0.29835718071012196</v>
      </c>
      <c r="AP47" s="113">
        <f>IF(AND(ABS(Feb!J48)&gt;קריטריונים!$B$2,Feb!B48&gt;קריטריונים!$B$3),Feb!J48,"")</f>
        <v>0.28171592989798566</v>
      </c>
      <c r="AQ47" s="113">
        <f>IF(AND(ABS(Feb!F48)&gt;קריטריונים!$B$1,Feb!B48&gt;קריטריונים!$B$3),Feb!F48,"")</f>
        <v>0.28053917438921649</v>
      </c>
      <c r="AR47" s="113">
        <f>IF(AND(ABS(Feb!G48)&gt;קריטריונים!$B$1,Feb!C48&gt;קריטריונים!$B$3),Feb!G48,"")</f>
        <v>24.5</v>
      </c>
      <c r="AS47" s="113">
        <f>IF(AND(ABS(Feb!H48)&gt;קריטריונים!$B$1,Feb!D48&gt;קריטריונים!$B$3),Feb!H48,"")</f>
        <v>19.115000000000002</v>
      </c>
      <c r="AT47" s="103">
        <f>IF(AND(ABS(Jan!E48)&gt;קריטריונים!$B$1,Jan!B48&gt;קריטריונים!$B$3),Jan!E48,"")</f>
        <v>0.28222804356817877</v>
      </c>
      <c r="AU47" s="118" t="s">
        <v>39</v>
      </c>
    </row>
    <row r="48" spans="1:47">
      <c r="A48" s="112" t="str">
        <f>IF(AND(ABS(Dec!K49)&gt;קריטריונים!$B$2,Dec!B49&gt;קריטריונים!$B$3),Dec!K49,"")</f>
        <v/>
      </c>
      <c r="B48" s="113" t="str">
        <f>IF(AND(ABS(Dec!J49)&gt;קריטריונים!$B$2,Dec!B49&gt;קריטריונים!$B$3),Dec!J49,"")</f>
        <v/>
      </c>
      <c r="C48" s="113" t="str">
        <f>IF(AND(ABS(Dec!F49)&gt;קריטריונים!$B$1,Dec!B49&gt;קריטריונים!$B$3),Dec!F49,"")</f>
        <v/>
      </c>
      <c r="D48" s="113" t="str">
        <f>IF(AND(ABS(Dec!E49)&gt;קריטריונים!$B$1,Dec!B49&gt;קריטריונים!$B$3),Dec!E49,"")</f>
        <v/>
      </c>
      <c r="E48" s="113">
        <f>IF(AND(ABS(Nov!K49)&gt;קריטריונים!$B$2,Nov!B49&gt;קריטריונים!$B$3),Nov!K49,"")</f>
        <v>0.25943396226415127</v>
      </c>
      <c r="F48" s="113">
        <f>IF(AND(ABS(Nov!J49)&gt;קריטריונים!$B$2,Nov!B49&gt;קריטריונים!$B$3),Nov!J49,"")</f>
        <v>0.21573627174210031</v>
      </c>
      <c r="G48" s="113">
        <f>IF(AND(ABS(Nov!F49)&gt;קריטריונים!$B$1,Nov!B49&gt;קריטריונים!$B$3),Nov!F49,"")</f>
        <v>0.2849162011173183</v>
      </c>
      <c r="H48" s="113">
        <f>IF(AND(ABS(Nov!E49)&gt;קריטריונים!$B$1,Nov!B49&gt;קריטריונים!$B$3),Nov!E49,"")</f>
        <v>-0.14018691588785048</v>
      </c>
      <c r="I48" s="113">
        <f>IF(AND(ABS(Oct!K49)&gt;קריטריונים!$B$2,Oct!B49&gt;קריטריונים!$B$3),Oct!K49,"")</f>
        <v>0.25708397733127275</v>
      </c>
      <c r="J48" s="113">
        <f>IF(AND(ABS(Oct!J49)&gt;קריטריונים!$B$2,Oct!B49&gt;קריטריונים!$B$3),Oct!J49,"")</f>
        <v>0.26510084512884369</v>
      </c>
      <c r="K48" s="113">
        <f>IF(AND(ABS(Oct!F49)&gt;קריטריונים!$B$1,Oct!B49&gt;קריטריונים!$B$3),Oct!F49,"")</f>
        <v>0.76384125428711425</v>
      </c>
      <c r="L48" s="113">
        <f>IF(AND(ABS(Oct!E49)&gt;קריטריונים!$B$1,Oct!B49&gt;קריטריונים!$B$3),Oct!E49,"")</f>
        <v>0.74927113702623926</v>
      </c>
      <c r="M48" s="113">
        <f>IF(AND(ABS(Sep!K49)&gt;קריטריונים!$B$2,Sep!B49&gt;קריטריונים!$B$3),Sep!K49,"")</f>
        <v>0.197535839714434</v>
      </c>
      <c r="N48" s="113">
        <f>IF(AND(ABS(Sep!J49)&gt;קריטריונים!$B$2,Sep!B49&gt;קריטריונים!$B$3),Sep!J49,"")</f>
        <v>0.20726681757501919</v>
      </c>
      <c r="O48" s="113">
        <f>IF(AND(ABS(Sep!F49)&gt;קריטריונים!$B$1,Sep!B49&gt;קריטריונים!$B$3),Sep!F49,"")</f>
        <v>0.14285714285714279</v>
      </c>
      <c r="P48" s="113">
        <f>IF(AND(ABS(Sep!E49)&gt;קריטריונים!$B$1,Sep!B49&gt;קריטריונים!$B$3),Sep!E49,"")</f>
        <v>-2.5815879201169012E-2</v>
      </c>
      <c r="Q48" s="113">
        <f>IF(AND(ABS(Aug!K49)&gt;קריטריונים!$B$2,Aug!B49&gt;קריטריונים!$B$3),Aug!K49,"")</f>
        <v>0.20366220628721465</v>
      </c>
      <c r="R48" s="113">
        <f>IF(AND(ABS(Aug!J49)&gt;קריטריונים!$B$2,Aug!B49&gt;קריטריונים!$B$3),Aug!J49,"")</f>
        <v>0.23879810226673714</v>
      </c>
      <c r="S48" s="113">
        <f>IF(AND(ABS(Aug!F49)&gt;קריטריונים!$B$1,Aug!B49&gt;קריטריונים!$B$3),Aug!F49,"")</f>
        <v>0.11669458403126742</v>
      </c>
      <c r="T48" s="113">
        <f>IF(AND(ABS(Aug!E49)&gt;קריטריונים!$B$1,Aug!B49&gt;קריטריונים!$B$3),Aug!E49,"")</f>
        <v>0.26422250316055629</v>
      </c>
      <c r="U48" s="113">
        <f>IF(AND(ABS(Jul!K49)&gt;קריטריונים!$B$2,Jul!B49&gt;קריטריונים!$B$3),Jul!K49,"")</f>
        <v>7.5613035405595941E-2</v>
      </c>
      <c r="V48" s="113">
        <f>IF(AND(ABS(Jul!J49)&gt;קריטריונים!$B$2,Jul!B49&gt;קריטריונים!$B$3),Jul!J49,"")</f>
        <v>0.23583934088568514</v>
      </c>
      <c r="W48" s="113">
        <f>IF(AND(ABS(Jul!F49)&gt;קריטריונים!$B$1,Jul!B49&gt;קריטריונים!$B$3),Jul!F49,"")</f>
        <v>6.1678463094034353E-2</v>
      </c>
      <c r="X48" s="113">
        <f>IF(AND(ABS(Jul!E49)&gt;קריטריונים!$B$1,Jul!B49&gt;קריטריונים!$B$3),Jul!E49,"")</f>
        <v>8.4150748580278822E-2</v>
      </c>
      <c r="Y48" s="113">
        <f>IF(AND(ABS(Jun!K49)&gt;קריטריונים!$B$2,Jun!B49&gt;קריטריונים!$B$3),Jun!K49,"")</f>
        <v>0.1585750315258514</v>
      </c>
      <c r="Z48" s="113">
        <f>IF(AND(ABS(Jun!J49)&gt;קריטריונים!$B$2,Jun!B49&gt;קריטריונים!$B$3),Jun!J49,"")</f>
        <v>0.26104486574590391</v>
      </c>
      <c r="AA48" s="113">
        <f>IF(AND(ABS(Jun!F49)&gt;קריטריונים!$B$1,Jun!B49&gt;קריטריונים!$B$3),Jun!F49,"")</f>
        <v>0.1879049676025919</v>
      </c>
      <c r="AB48" s="113">
        <f>IF(AND(ABS(Jun!E49)&gt;קריטריונים!$B$1,Jun!B49&gt;קריטריונים!$B$3),Jun!E49,"")</f>
        <v>0.39593908629441632</v>
      </c>
      <c r="AC48" s="113">
        <f>IF(AND(ABS(May!K49)&gt;קריטריונים!$B$2,May!B49&gt;קריטריונים!$B$3),May!K49,"")</f>
        <v>0.25025005001000222</v>
      </c>
      <c r="AD48" s="113">
        <f>IF(AND(ABS(May!J49)&gt;קריטריונים!$B$2,May!B49&gt;קריטריונים!$B$3),May!J49,"")</f>
        <v>0.2399563535363558</v>
      </c>
      <c r="AE48" s="113">
        <f>IF(AND(ABS(May!F49)&gt;קריטריונים!$B$1,May!B49&gt;קריטריונים!$B$3),May!F49,"")</f>
        <v>4.1666666666666741E-2</v>
      </c>
      <c r="AF48" s="113">
        <f>IF(AND(ABS(May!E49)&gt;קריטריונים!$B$1,May!B49&gt;קריטריונים!$B$3),May!E49,"")</f>
        <v>1.5228426395939021E-2</v>
      </c>
      <c r="AG48" s="113">
        <f>IF(AND(ABS(Apr!K49)&gt;קריטריונים!$B$2,Apr!B49&gt;קריטריונים!$B$3),Apr!K49,"")</f>
        <v>0.31271120353522242</v>
      </c>
      <c r="AH48" s="113">
        <f>IF(AND(ABS(Apr!J49)&gt;קריטריונים!$B$2,Apr!B49&gt;קריטריונים!$B$3),Apr!J49,"")</f>
        <v>0.3087987559932619</v>
      </c>
      <c r="AI48" s="113">
        <f>IF(AND(ABS(Apr!F49)&gt;קריטריונים!$B$1,Apr!B49&gt;קריטריונים!$B$3),Apr!F49,"")</f>
        <v>0.59840159840159868</v>
      </c>
      <c r="AJ48" s="113">
        <f>IF(AND(ABS(Apr!E49)&gt;קריטריונים!$B$1,Apr!B49&gt;קריטריונים!$B$3),Apr!E49,"")</f>
        <v>0.75920835623969229</v>
      </c>
      <c r="AK48" s="113">
        <f>IF(AND(ABS(Mar!K49)&gt;קריטריונים!$B$2,Mar!B49&gt;קריטריונים!$B$3),Mar!K49,"")</f>
        <v>0.21222768798313418</v>
      </c>
      <c r="AL48" s="113">
        <f>IF(AND(ABS(Mar!J49)&gt;קריטריונים!$B$2,Mar!B49&gt;קריטריונים!$B$3),Mar!J49,"")</f>
        <v>0.16988809766022395</v>
      </c>
      <c r="AM48" s="113">
        <f>IF(AND(ABS(Mar!F49)&gt;קריטריונים!$B$1,Mar!B49&gt;קריטריונים!$B$3),Mar!F49,"")</f>
        <v>9.3135111499781376E-2</v>
      </c>
      <c r="AN48" s="113">
        <f>IF(AND(ABS(Mar!E49)&gt;קריטריונים!$B$1,Mar!B49&gt;קריטריונים!$B$3),Mar!E49,"")</f>
        <v>3.5196687370600444E-2</v>
      </c>
      <c r="AO48" s="113">
        <f>IF(AND(ABS(Feb!K49)&gt;קריטריונים!$B$2,Feb!B49&gt;קריטריונים!$B$3),Feb!K49,"")</f>
        <v>0.29221732745961848</v>
      </c>
      <c r="AP48" s="113">
        <f>IF(AND(ABS(Feb!J49)&gt;קריטריונים!$B$2,Feb!B49&gt;קריטריונים!$B$3),Feb!J49,"")</f>
        <v>0.26327878265862781</v>
      </c>
      <c r="AQ48" s="113">
        <f>IF(AND(ABS(Feb!F49)&gt;קריטריונים!$B$1,Feb!B49&gt;קריטריונים!$B$3),Feb!F49,"")</f>
        <v>0.39729855612482545</v>
      </c>
      <c r="AR48" s="113">
        <f>IF(AND(ABS(Feb!G49)&gt;קריטריונים!$B$1,Feb!C49&gt;קריטריונים!$B$3),Feb!G49,"")</f>
        <v>4.4000000000000004</v>
      </c>
      <c r="AS48" s="113">
        <f>IF(AND(ABS(Feb!H49)&gt;קריטריונים!$B$1,Feb!D49&gt;קריטריונים!$B$3),Feb!H49,"")</f>
        <v>3.4829999999999997</v>
      </c>
      <c r="AT48" s="103" t="str">
        <f>IF(AND(ABS(Jan!E49)&gt;קריטריונים!$B$1,Jan!B49&gt;קריטריונים!$B$3),Jan!E49,"")</f>
        <v/>
      </c>
      <c r="AU48" s="118" t="s">
        <v>40</v>
      </c>
    </row>
    <row r="49" spans="1:47">
      <c r="A49" s="112" t="str">
        <f>IF(AND(ABS(Dec!K50)&gt;קריטריונים!$B$2,Dec!B50&gt;קריטריונים!$B$3),Dec!K50,"")</f>
        <v/>
      </c>
      <c r="B49" s="113" t="str">
        <f>IF(AND(ABS(Dec!J50)&gt;קריטריונים!$B$2,Dec!B50&gt;קריטריונים!$B$3),Dec!J50,"")</f>
        <v/>
      </c>
      <c r="C49" s="113" t="str">
        <f>IF(AND(ABS(Dec!F50)&gt;קריטריונים!$B$1,Dec!B50&gt;קריטריונים!$B$3),Dec!F50,"")</f>
        <v/>
      </c>
      <c r="D49" s="113" t="str">
        <f>IF(AND(ABS(Dec!E50)&gt;קריטריונים!$B$1,Dec!B50&gt;קריטריונים!$B$3),Dec!E50,"")</f>
        <v/>
      </c>
      <c r="E49" s="113">
        <f>IF(AND(ABS(Nov!K50)&gt;קריטריונים!$B$2,Nov!B50&gt;קריטריונים!$B$3),Nov!K50,"")</f>
        <v>0.41286883782612049</v>
      </c>
      <c r="F49" s="113">
        <f>IF(AND(ABS(Nov!J50)&gt;קריטריונים!$B$2,Nov!B50&gt;קריטריונים!$B$3),Nov!J50,"")</f>
        <v>0.39364057154357046</v>
      </c>
      <c r="G49" s="113">
        <f>IF(AND(ABS(Nov!F50)&gt;קריטריונים!$B$1,Nov!B50&gt;קריטריונים!$B$3),Nov!F50,"")</f>
        <v>0.84069611780455156</v>
      </c>
      <c r="H49" s="113">
        <f>IF(AND(ABS(Nov!E50)&gt;קריטריונים!$B$1,Nov!B50&gt;קריטריונים!$B$3),Nov!E50,"")</f>
        <v>0.16648992576882304</v>
      </c>
      <c r="I49" s="113">
        <f>IF(AND(ABS(Oct!K50)&gt;קריטריונים!$B$2,Oct!B50&gt;קריטריונים!$B$3),Oct!K50,"")</f>
        <v>0.37757778207216419</v>
      </c>
      <c r="J49" s="113">
        <f>IF(AND(ABS(Oct!J50)&gt;קריטריונים!$B$2,Oct!B50&gt;קריטריונים!$B$3),Oct!J50,"")</f>
        <v>0.42420869366669534</v>
      </c>
      <c r="K49" s="113">
        <f>IF(AND(ABS(Oct!F50)&gt;קריטריונים!$B$1,Oct!B50&gt;קריטריונים!$B$3),Oct!F50,"")</f>
        <v>0.66713760949420742</v>
      </c>
      <c r="L49" s="113">
        <f>IF(AND(ABS(Oct!E50)&gt;קריטריונים!$B$1,Oct!B50&gt;קריטריונים!$B$3),Oct!E50,"")</f>
        <v>0.91682910981156618</v>
      </c>
      <c r="M49" s="113">
        <f>IF(AND(ABS(Sep!K50)&gt;קריטריונים!$B$2,Sep!B50&gt;קריטריונים!$B$3),Sep!K50,"")</f>
        <v>0.34622445233141641</v>
      </c>
      <c r="N49" s="113">
        <f>IF(AND(ABS(Sep!J50)&gt;קריטריונים!$B$2,Sep!B50&gt;קריטריונים!$B$3),Sep!J50,"")</f>
        <v>0.37676397884789914</v>
      </c>
      <c r="O49" s="113">
        <f>IF(AND(ABS(Sep!F50)&gt;קריטריונים!$B$1,Sep!B50&gt;קריטריונים!$B$3),Sep!F50,"")</f>
        <v>0.8023817186997102</v>
      </c>
      <c r="P49" s="113">
        <f>IF(AND(ABS(Sep!E50)&gt;קריטריונים!$B$1,Sep!B50&gt;קריטריונים!$B$3),Sep!E50,"")</f>
        <v>0.22941822173435789</v>
      </c>
      <c r="Q49" s="113">
        <f>IF(AND(ABS(Aug!K50)&gt;קריטריונים!$B$2,Aug!B50&gt;קריטריונים!$B$3),Aug!K50,"")</f>
        <v>0.29830611623896952</v>
      </c>
      <c r="R49" s="113">
        <f>IF(AND(ABS(Aug!J50)&gt;קריטריונים!$B$2,Aug!B50&gt;קריטריונים!$B$3),Aug!J50,"")</f>
        <v>0.40125529119836534</v>
      </c>
      <c r="S49" s="113">
        <f>IF(AND(ABS(Aug!F50)&gt;קריטריונים!$B$1,Aug!B50&gt;קריטריונים!$B$3),Aug!F50,"")</f>
        <v>0.17157974300831458</v>
      </c>
      <c r="T49" s="113">
        <f>IF(AND(ABS(Aug!E50)&gt;קריטריונים!$B$1,Aug!B50&gt;קריטריונים!$B$3),Aug!E50,"")</f>
        <v>0.42923005993545416</v>
      </c>
      <c r="U49" s="113">
        <f>IF(AND(ABS(Jul!K50)&gt;קריטריונים!$B$2,Jul!B50&gt;קריטריונים!$B$3),Jul!K50,"")</f>
        <v>8.8683774554552564E-2</v>
      </c>
      <c r="V49" s="113">
        <f>IF(AND(ABS(Jul!J50)&gt;קריטריונים!$B$2,Jul!B50&gt;קריטריונים!$B$3),Jul!J50,"")</f>
        <v>0.39599410387583478</v>
      </c>
      <c r="W49" s="113">
        <f>IF(AND(ABS(Jul!F50)&gt;קריטריונים!$B$1,Jul!B50&gt;קריטריונים!$B$3),Jul!F50,"")</f>
        <v>0.33735979292493523</v>
      </c>
      <c r="X49" s="113">
        <f>IF(AND(ABS(Jul!E50)&gt;קריטריונים!$B$1,Jul!B50&gt;קריטריונים!$B$3),Jul!E50,"")</f>
        <v>0.45505749823984987</v>
      </c>
      <c r="Y49" s="113">
        <f>IF(AND(ABS(Jun!K50)&gt;קריטריונים!$B$2,Jun!B50&gt;קריטריונים!$B$3),Jun!K50,"")</f>
        <v>0.29243923050156573</v>
      </c>
      <c r="Z49" s="113">
        <f>IF(AND(ABS(Jun!J50)&gt;קריטריונים!$B$2,Jun!B50&gt;קריטריונים!$B$3),Jun!J50,"")</f>
        <v>0.38261100771071521</v>
      </c>
      <c r="AA49" s="113">
        <f>IF(AND(ABS(Jun!F50)&gt;קריטריונים!$B$1,Jun!B50&gt;קריטריונים!$B$3),Jun!F50,"")</f>
        <v>0.42995637421231203</v>
      </c>
      <c r="AB49" s="113">
        <f>IF(AND(ABS(Jun!E50)&gt;קריטריונים!$B$1,Jun!B50&gt;קריטריונים!$B$3),Jun!E50,"")</f>
        <v>0.68716042321990289</v>
      </c>
      <c r="AC49" s="113">
        <f>IF(AND(ABS(May!K50)&gt;קריטריונים!$B$2,May!B50&gt;קריטריונים!$B$3),May!K50,"")</f>
        <v>0.29485279907234441</v>
      </c>
      <c r="AD49" s="113">
        <f>IF(AND(ABS(May!J50)&gt;קריטריונים!$B$2,May!B50&gt;קריטריונים!$B$3),May!J50,"")</f>
        <v>0.31303893389077619</v>
      </c>
      <c r="AE49" s="113">
        <f>IF(AND(ABS(May!F50)&gt;קריטריונים!$B$1,May!B50&gt;קריטריונים!$B$3),May!F50,"")</f>
        <v>0.39860139860139876</v>
      </c>
      <c r="AF49" s="113">
        <f>IF(AND(ABS(May!E50)&gt;קריטריונים!$B$1,May!B50&gt;קריטריונים!$B$3),May!E50,"")</f>
        <v>0.31225767968982998</v>
      </c>
      <c r="AG49" s="113">
        <f>IF(AND(ABS(Apr!K50)&gt;קריטריונים!$B$2,Apr!B50&gt;קריטריונים!$B$3),Apr!K50,"")</f>
        <v>0.26848186151733033</v>
      </c>
      <c r="AH49" s="113">
        <f>IF(AND(ABS(Apr!J50)&gt;קריטריונים!$B$2,Apr!B50&gt;קריטריונים!$B$3),Apr!J50,"")</f>
        <v>0.31325805102467585</v>
      </c>
      <c r="AI49" s="113">
        <f>IF(AND(ABS(Apr!F50)&gt;קריטריונים!$B$1,Apr!B50&gt;קריטריונים!$B$3),Apr!F50,"")</f>
        <v>0.5222806531967894</v>
      </c>
      <c r="AJ49" s="113">
        <f>IF(AND(ABS(Apr!E50)&gt;קריטריונים!$B$1,Apr!B50&gt;קריטריונים!$B$3),Apr!E50,"")</f>
        <v>1.0362828582006665</v>
      </c>
      <c r="AK49" s="113">
        <f>IF(AND(ABS(Mar!K50)&gt;קריטריונים!$B$2,Mar!B50&gt;קריטריונים!$B$3),Mar!K50,"")</f>
        <v>0.16385212231857582</v>
      </c>
      <c r="AL49" s="113">
        <f>IF(AND(ABS(Mar!J50)&gt;קריטריונים!$B$2,Mar!B50&gt;קריטריונים!$B$3),Mar!J50,"")</f>
        <v>0.10222606440458182</v>
      </c>
      <c r="AM49" s="113">
        <f>IF(AND(ABS(Mar!F50)&gt;קריטריונים!$B$1,Mar!B50&gt;קריטריונים!$B$3),Mar!F50,"")</f>
        <v>4.8565121412803558E-2</v>
      </c>
      <c r="AN49" s="113">
        <f>IF(AND(ABS(Mar!E50)&gt;קריטריונים!$B$1,Mar!B50&gt;קריטריונים!$B$3),Mar!E50,"")</f>
        <v>-4.3303121852970805E-2</v>
      </c>
      <c r="AO49" s="113">
        <f>IF(AND(ABS(Feb!K50)&gt;קריטריונים!$B$2,Feb!B50&gt;קריטריונים!$B$3),Feb!K50,"")</f>
        <v>0.24513618677042803</v>
      </c>
      <c r="AP49" s="113">
        <f>IF(AND(ABS(Feb!J50)&gt;קריטריונים!$B$2,Feb!B50&gt;קריטריונים!$B$3),Feb!J50,"")</f>
        <v>0.21166224914804999</v>
      </c>
      <c r="AQ49" s="113">
        <f>IF(AND(ABS(Feb!F50)&gt;קריטריונים!$B$1,Feb!B50&gt;קריטריונים!$B$3),Feb!F50,"")</f>
        <v>0.37562094000764246</v>
      </c>
      <c r="AR49" s="113">
        <f>IF(AND(ABS(Feb!G50)&gt;קריטריונים!$B$1,Feb!C50&gt;קריטריונים!$B$3),Feb!G50,"")</f>
        <v>6.4</v>
      </c>
      <c r="AS49" s="113">
        <f>IF(AND(ABS(Feb!H50)&gt;קריטריונים!$B$1,Feb!D50&gt;קריטריונים!$B$3),Feb!H50,"")</f>
        <v>5.282</v>
      </c>
      <c r="AT49" s="103">
        <f>IF(AND(ABS(Jan!E50)&gt;קריטריונים!$B$1,Jan!B50&gt;קריטריונים!$B$3),Jan!E50,"")</f>
        <v>0.1391375101708705</v>
      </c>
      <c r="AU49" s="118" t="s">
        <v>41</v>
      </c>
    </row>
    <row r="50" spans="1:47">
      <c r="A50" s="112" t="str">
        <f>IF(AND(ABS(Dec!K51)&gt;קריטריונים!$B$2,Dec!B51&gt;קריטריונים!$B$3),Dec!K51,"")</f>
        <v/>
      </c>
      <c r="B50" s="113" t="str">
        <f>IF(AND(ABS(Dec!J51)&gt;קריטריונים!$B$2,Dec!B51&gt;קריטריונים!$B$3),Dec!J51,"")</f>
        <v/>
      </c>
      <c r="C50" s="113" t="str">
        <f>IF(AND(ABS(Dec!F51)&gt;קריטריונים!$B$1,Dec!B51&gt;קריטריונים!$B$3),Dec!F51,"")</f>
        <v/>
      </c>
      <c r="D50" s="113" t="str">
        <f>IF(AND(ABS(Dec!E51)&gt;קריטריונים!$B$1,Dec!B51&gt;קריטריונים!$B$3),Dec!E51,"")</f>
        <v/>
      </c>
      <c r="E50" s="113" t="str">
        <f>IF(AND(ABS(Nov!K51)&gt;קריטריונים!$B$2,Nov!B51&gt;קריטריונים!$B$3),Nov!K51,"")</f>
        <v/>
      </c>
      <c r="F50" s="113" t="str">
        <f>IF(AND(ABS(Nov!J51)&gt;קריטריונים!$B$2,Nov!B51&gt;קריטריונים!$B$3),Nov!J51,"")</f>
        <v/>
      </c>
      <c r="G50" s="113" t="str">
        <f>IF(AND(ABS(Nov!F51)&gt;קריטריונים!$B$1,Nov!B51&gt;קריטריונים!$B$3),Nov!F51,"")</f>
        <v/>
      </c>
      <c r="H50" s="113" t="str">
        <f>IF(AND(ABS(Nov!E51)&gt;קריטריונים!$B$1,Nov!B51&gt;קריטריונים!$B$3),Nov!E51,"")</f>
        <v/>
      </c>
      <c r="I50" s="113" t="str">
        <f>IF(AND(ABS(Oct!K51)&gt;קריטריונים!$B$2,Oct!B51&gt;קריטריונים!$B$3),Oct!K51,"")</f>
        <v/>
      </c>
      <c r="J50" s="113" t="str">
        <f>IF(AND(ABS(Oct!J51)&gt;קריטריונים!$B$2,Oct!B51&gt;קריטריונים!$B$3),Oct!J51,"")</f>
        <v/>
      </c>
      <c r="K50" s="113" t="str">
        <f>IF(AND(ABS(Oct!F51)&gt;קריטריונים!$B$1,Oct!B51&gt;קריטריונים!$B$3),Oct!F51,"")</f>
        <v/>
      </c>
      <c r="L50" s="113" t="str">
        <f>IF(AND(ABS(Oct!E51)&gt;קריטריונים!$B$1,Oct!B51&gt;קריטריונים!$B$3),Oct!E51,"")</f>
        <v/>
      </c>
      <c r="M50" s="113" t="str">
        <f>IF(AND(ABS(Sep!K51)&gt;קריטריונים!$B$2,Sep!B51&gt;קריטריונים!$B$3),Sep!K51,"")</f>
        <v/>
      </c>
      <c r="N50" s="113" t="str">
        <f>IF(AND(ABS(Sep!J51)&gt;קריטריונים!$B$2,Sep!B51&gt;קריטריונים!$B$3),Sep!J51,"")</f>
        <v/>
      </c>
      <c r="O50" s="113" t="str">
        <f>IF(AND(ABS(Sep!F51)&gt;קריטריונים!$B$1,Sep!B51&gt;קריטריונים!$B$3),Sep!F51,"")</f>
        <v/>
      </c>
      <c r="P50" s="113" t="str">
        <f>IF(AND(ABS(Sep!E51)&gt;קריטריונים!$B$1,Sep!B51&gt;קריטריונים!$B$3),Sep!E51,"")</f>
        <v/>
      </c>
      <c r="Q50" s="113">
        <f>IF(AND(ABS(Aug!K51)&gt;קריטריונים!$B$2,Aug!B51&gt;קריטריונים!$B$3),Aug!K51,"")</f>
        <v>0.25899280575539585</v>
      </c>
      <c r="R50" s="113">
        <f>IF(AND(ABS(Aug!J51)&gt;קריטריונים!$B$2,Aug!B51&gt;קריטריונים!$B$3),Aug!J51,"")</f>
        <v>0.34073932196897139</v>
      </c>
      <c r="S50" s="113">
        <f>IF(AND(ABS(Aug!F51)&gt;קריטריונים!$B$1,Aug!B51&gt;קריטריונים!$B$3),Aug!F51,"")</f>
        <v>0.59203980099502518</v>
      </c>
      <c r="T50" s="113">
        <f>IF(AND(ABS(Aug!E51)&gt;קריטריונים!$B$1,Aug!B51&gt;קריטריונים!$B$3),Aug!E51,"")</f>
        <v>0.671891327063741</v>
      </c>
      <c r="U50" s="113" t="str">
        <f>IF(AND(ABS(Jul!K51)&gt;קריטריונים!$B$2,Jul!B51&gt;קריטריונים!$B$3),Jul!K51,"")</f>
        <v/>
      </c>
      <c r="V50" s="113" t="str">
        <f>IF(AND(ABS(Jul!J51)&gt;קריטריונים!$B$2,Jul!B51&gt;קריטריונים!$B$3),Jul!J51,"")</f>
        <v/>
      </c>
      <c r="W50" s="113" t="str">
        <f>IF(AND(ABS(Jul!F51)&gt;קריטריונים!$B$1,Jul!B51&gt;קריטריונים!$B$3),Jul!F51,"")</f>
        <v/>
      </c>
      <c r="X50" s="113" t="str">
        <f>IF(AND(ABS(Jul!E51)&gt;קריטריונים!$B$1,Jul!B51&gt;קריטריונים!$B$3),Jul!E51,"")</f>
        <v/>
      </c>
      <c r="Y50" s="113" t="str">
        <f>IF(AND(ABS(Jun!K51)&gt;קריטריונים!$B$2,Jun!B51&gt;קריטריונים!$B$3),Jun!K51,"")</f>
        <v/>
      </c>
      <c r="Z50" s="113" t="str">
        <f>IF(AND(ABS(Jun!J51)&gt;קריטריונים!$B$2,Jun!B51&gt;קריטריונים!$B$3),Jun!J51,"")</f>
        <v/>
      </c>
      <c r="AA50" s="113" t="str">
        <f>IF(AND(ABS(Jun!F51)&gt;קריטריונים!$B$1,Jun!B51&gt;קריטריונים!$B$3),Jun!F51,"")</f>
        <v/>
      </c>
      <c r="AB50" s="113" t="str">
        <f>IF(AND(ABS(Jun!E51)&gt;קריטריונים!$B$1,Jun!B51&gt;קריטריונים!$B$3),Jun!E51,"")</f>
        <v/>
      </c>
      <c r="AC50" s="113" t="str">
        <f>IF(AND(ABS(May!K51)&gt;קריטריונים!$B$2,May!B51&gt;קריטריונים!$B$3),May!K51,"")</f>
        <v/>
      </c>
      <c r="AD50" s="113" t="str">
        <f>IF(AND(ABS(May!J51)&gt;קריטריונים!$B$2,May!B51&gt;קריטריונים!$B$3),May!J51,"")</f>
        <v/>
      </c>
      <c r="AE50" s="113" t="str">
        <f>IF(AND(ABS(May!F51)&gt;קריטריונים!$B$1,May!B51&gt;קריטריונים!$B$3),May!F51,"")</f>
        <v/>
      </c>
      <c r="AF50" s="113" t="str">
        <f>IF(AND(ABS(May!E51)&gt;קריטריונים!$B$1,May!B51&gt;קריטריונים!$B$3),May!E51,"")</f>
        <v/>
      </c>
      <c r="AG50" s="113" t="str">
        <f>IF(AND(ABS(Apr!K51)&gt;קריטריונים!$B$2,Apr!B51&gt;קריטריונים!$B$3),Apr!K51,"")</f>
        <v/>
      </c>
      <c r="AH50" s="113" t="str">
        <f>IF(AND(ABS(Apr!J51)&gt;קריטריונים!$B$2,Apr!B51&gt;קריטריונים!$B$3),Apr!J51,"")</f>
        <v/>
      </c>
      <c r="AI50" s="113" t="str">
        <f>IF(AND(ABS(Apr!F51)&gt;קריטריונים!$B$1,Apr!B51&gt;קריטריונים!$B$3),Apr!F51,"")</f>
        <v/>
      </c>
      <c r="AJ50" s="113" t="str">
        <f>IF(AND(ABS(Apr!E51)&gt;קריטריונים!$B$1,Apr!B51&gt;קריטריונים!$B$3),Apr!E51,"")</f>
        <v/>
      </c>
      <c r="AK50" s="113" t="str">
        <f>IF(AND(ABS(Mar!K51)&gt;קריטריונים!$B$2,Mar!B51&gt;קריטריונים!$B$3),Mar!K51,"")</f>
        <v/>
      </c>
      <c r="AL50" s="113" t="str">
        <f>IF(AND(ABS(Mar!J51)&gt;קריטריונים!$B$2,Mar!B51&gt;קריטריונים!$B$3),Mar!J51,"")</f>
        <v/>
      </c>
      <c r="AM50" s="113" t="str">
        <f>IF(AND(ABS(Mar!F51)&gt;קריטריונים!$B$1,Mar!B51&gt;קריטריונים!$B$3),Mar!F51,"")</f>
        <v/>
      </c>
      <c r="AN50" s="113" t="str">
        <f>IF(AND(ABS(Mar!E51)&gt;קריטריונים!$B$1,Mar!B51&gt;קריטריונים!$B$3),Mar!E51,"")</f>
        <v/>
      </c>
      <c r="AO50" s="113" t="str">
        <f>IF(AND(ABS(Feb!K51)&gt;קריטריונים!$B$2,Feb!B51&gt;קריטריונים!$B$3),Feb!K51,"")</f>
        <v/>
      </c>
      <c r="AP50" s="113" t="str">
        <f>IF(AND(ABS(Feb!J51)&gt;קריטריונים!$B$2,Feb!B51&gt;קריטריונים!$B$3),Feb!J51,"")</f>
        <v/>
      </c>
      <c r="AQ50" s="113" t="str">
        <f>IF(AND(ABS(Feb!F51)&gt;קריטריונים!$B$1,Feb!B51&gt;קריטריונים!$B$3),Feb!F51,"")</f>
        <v/>
      </c>
      <c r="AR50" s="113" t="str">
        <f>IF(AND(ABS(Feb!G51)&gt;קריטריונים!$B$1,Feb!C51&gt;קריטריונים!$B$3),Feb!G51,"")</f>
        <v/>
      </c>
      <c r="AS50" s="113" t="str">
        <f>IF(AND(ABS(Feb!H51)&gt;קריטריונים!$B$1,Feb!D51&gt;קריטריונים!$B$3),Feb!H51,"")</f>
        <v/>
      </c>
      <c r="AT50" s="103" t="str">
        <f>IF(AND(ABS(Jan!E51)&gt;קריטריונים!$B$1,Jan!B51&gt;קריטריונים!$B$3),Jan!E51,"")</f>
        <v/>
      </c>
      <c r="AU50" s="118" t="s">
        <v>42</v>
      </c>
    </row>
    <row r="51" spans="1:47">
      <c r="A51" s="112" t="str">
        <f>IF(AND(ABS(Dec!K52)&gt;קריטריונים!$B$2,Dec!B52&gt;קריטריונים!$B$3),Dec!K52,"")</f>
        <v/>
      </c>
      <c r="B51" s="113" t="str">
        <f>IF(AND(ABS(Dec!J52)&gt;קריטריונים!$B$2,Dec!B52&gt;קריטריונים!$B$3),Dec!J52,"")</f>
        <v/>
      </c>
      <c r="C51" s="113" t="str">
        <f>IF(AND(ABS(Dec!F52)&gt;קריטריונים!$B$1,Dec!B52&gt;קריטריונים!$B$3),Dec!F52,"")</f>
        <v/>
      </c>
      <c r="D51" s="113" t="str">
        <f>IF(AND(ABS(Dec!E52)&gt;קריטריונים!$B$1,Dec!B52&gt;קריטריונים!$B$3),Dec!E52,"")</f>
        <v/>
      </c>
      <c r="E51" s="113" t="str">
        <f>IF(AND(ABS(Nov!K52)&gt;קריטריונים!$B$2,Nov!B52&gt;קריטריונים!$B$3),Nov!K52,"")</f>
        <v/>
      </c>
      <c r="F51" s="113" t="str">
        <f>IF(AND(ABS(Nov!J52)&gt;קריטריונים!$B$2,Nov!B52&gt;קריטריונים!$B$3),Nov!J52,"")</f>
        <v/>
      </c>
      <c r="G51" s="113" t="str">
        <f>IF(AND(ABS(Nov!F52)&gt;קריטריונים!$B$1,Nov!B52&gt;קריטריונים!$B$3),Nov!F52,"")</f>
        <v/>
      </c>
      <c r="H51" s="113" t="str">
        <f>IF(AND(ABS(Nov!E52)&gt;קריטריונים!$B$1,Nov!B52&gt;קריטריונים!$B$3),Nov!E52,"")</f>
        <v/>
      </c>
      <c r="I51" s="113" t="str">
        <f>IF(AND(ABS(Oct!K52)&gt;קריטריונים!$B$2,Oct!B52&gt;קריטריונים!$B$3),Oct!K52,"")</f>
        <v/>
      </c>
      <c r="J51" s="113" t="str">
        <f>IF(AND(ABS(Oct!J52)&gt;קריטריונים!$B$2,Oct!B52&gt;קריטריונים!$B$3),Oct!J52,"")</f>
        <v/>
      </c>
      <c r="K51" s="113" t="str">
        <f>IF(AND(ABS(Oct!F52)&gt;קריטריונים!$B$1,Oct!B52&gt;קריטריונים!$B$3),Oct!F52,"")</f>
        <v/>
      </c>
      <c r="L51" s="113" t="str">
        <f>IF(AND(ABS(Oct!E52)&gt;קריטריונים!$B$1,Oct!B52&gt;קריטריונים!$B$3),Oct!E52,"")</f>
        <v/>
      </c>
      <c r="M51" s="113" t="str">
        <f>IF(AND(ABS(Sep!K52)&gt;קריטריונים!$B$2,Sep!B52&gt;קריטריונים!$B$3),Sep!K52,"")</f>
        <v/>
      </c>
      <c r="N51" s="113" t="str">
        <f>IF(AND(ABS(Sep!J52)&gt;קריטריונים!$B$2,Sep!B52&gt;קריטריונים!$B$3),Sep!J52,"")</f>
        <v/>
      </c>
      <c r="O51" s="113" t="str">
        <f>IF(AND(ABS(Sep!F52)&gt;קריטריונים!$B$1,Sep!B52&gt;קריטריונים!$B$3),Sep!F52,"")</f>
        <v/>
      </c>
      <c r="P51" s="113" t="str">
        <f>IF(AND(ABS(Sep!E52)&gt;קריטריונים!$B$1,Sep!B52&gt;קריטריונים!$B$3),Sep!E52,"")</f>
        <v/>
      </c>
      <c r="Q51" s="113" t="str">
        <f>IF(AND(ABS(Aug!K52)&gt;קריטריונים!$B$2,Aug!B52&gt;קריטריונים!$B$3),Aug!K52,"")</f>
        <v/>
      </c>
      <c r="R51" s="113" t="str">
        <f>IF(AND(ABS(Aug!J52)&gt;קריטריונים!$B$2,Aug!B52&gt;קריטריונים!$B$3),Aug!J52,"")</f>
        <v/>
      </c>
      <c r="S51" s="113" t="str">
        <f>IF(AND(ABS(Aug!F52)&gt;קריטריונים!$B$1,Aug!B52&gt;קריטריונים!$B$3),Aug!F52,"")</f>
        <v/>
      </c>
      <c r="T51" s="113" t="str">
        <f>IF(AND(ABS(Aug!E52)&gt;קריטריונים!$B$1,Aug!B52&gt;קריטריונים!$B$3),Aug!E52,"")</f>
        <v/>
      </c>
      <c r="U51" s="113" t="str">
        <f>IF(AND(ABS(Jul!K52)&gt;קריטריונים!$B$2,Jul!B52&gt;קריטריונים!$B$3),Jul!K52,"")</f>
        <v/>
      </c>
      <c r="V51" s="113" t="str">
        <f>IF(AND(ABS(Jul!J52)&gt;קריטריונים!$B$2,Jul!B52&gt;קריטריונים!$B$3),Jul!J52,"")</f>
        <v/>
      </c>
      <c r="W51" s="113" t="str">
        <f>IF(AND(ABS(Jul!F52)&gt;קריטריונים!$B$1,Jul!B52&gt;קריטריונים!$B$3),Jul!F52,"")</f>
        <v/>
      </c>
      <c r="X51" s="113" t="str">
        <f>IF(AND(ABS(Jul!E52)&gt;קריטריונים!$B$1,Jul!B52&gt;קריטריונים!$B$3),Jul!E52,"")</f>
        <v/>
      </c>
      <c r="Y51" s="113" t="str">
        <f>IF(AND(ABS(Jun!K52)&gt;קריטריונים!$B$2,Jun!B52&gt;קריטריונים!$B$3),Jun!K52,"")</f>
        <v/>
      </c>
      <c r="Z51" s="113" t="str">
        <f>IF(AND(ABS(Jun!J52)&gt;קריטריונים!$B$2,Jun!B52&gt;קריטריונים!$B$3),Jun!J52,"")</f>
        <v/>
      </c>
      <c r="AA51" s="113" t="str">
        <f>IF(AND(ABS(Jun!F52)&gt;קריטריונים!$B$1,Jun!B52&gt;קריטריונים!$B$3),Jun!F52,"")</f>
        <v/>
      </c>
      <c r="AB51" s="113" t="str">
        <f>IF(AND(ABS(Jun!E52)&gt;קריטריונים!$B$1,Jun!B52&gt;קריטריונים!$B$3),Jun!E52,"")</f>
        <v/>
      </c>
      <c r="AC51" s="113" t="str">
        <f>IF(AND(ABS(May!K52)&gt;קריטריונים!$B$2,May!B52&gt;קריטריונים!$B$3),May!K52,"")</f>
        <v/>
      </c>
      <c r="AD51" s="113" t="str">
        <f>IF(AND(ABS(May!J52)&gt;קריטריונים!$B$2,May!B52&gt;קריטריונים!$B$3),May!J52,"")</f>
        <v/>
      </c>
      <c r="AE51" s="113" t="str">
        <f>IF(AND(ABS(May!F52)&gt;קריטריונים!$B$1,May!B52&gt;קריטריונים!$B$3),May!F52,"")</f>
        <v/>
      </c>
      <c r="AF51" s="113" t="str">
        <f>IF(AND(ABS(May!E52)&gt;קריטריונים!$B$1,May!B52&gt;קריטריונים!$B$3),May!E52,"")</f>
        <v/>
      </c>
      <c r="AG51" s="113" t="str">
        <f>IF(AND(ABS(Apr!K52)&gt;קריטריונים!$B$2,Apr!B52&gt;קריטריונים!$B$3),Apr!K52,"")</f>
        <v/>
      </c>
      <c r="AH51" s="113" t="str">
        <f>IF(AND(ABS(Apr!J52)&gt;קריטריונים!$B$2,Apr!B52&gt;קריטריונים!$B$3),Apr!J52,"")</f>
        <v/>
      </c>
      <c r="AI51" s="113" t="str">
        <f>IF(AND(ABS(Apr!F52)&gt;קריטריונים!$B$1,Apr!B52&gt;קריטריונים!$B$3),Apr!F52,"")</f>
        <v/>
      </c>
      <c r="AJ51" s="113" t="str">
        <f>IF(AND(ABS(Apr!E52)&gt;קריטריונים!$B$1,Apr!B52&gt;קריטריונים!$B$3),Apr!E52,"")</f>
        <v/>
      </c>
      <c r="AK51" s="113" t="str">
        <f>IF(AND(ABS(Mar!K52)&gt;קריטריונים!$B$2,Mar!B52&gt;קריטריונים!$B$3),Mar!K52,"")</f>
        <v/>
      </c>
      <c r="AL51" s="113" t="str">
        <f>IF(AND(ABS(Mar!J52)&gt;קריטריונים!$B$2,Mar!B52&gt;קריטריונים!$B$3),Mar!J52,"")</f>
        <v/>
      </c>
      <c r="AM51" s="113" t="str">
        <f>IF(AND(ABS(Mar!F52)&gt;קריטריונים!$B$1,Mar!B52&gt;קריטריונים!$B$3),Mar!F52,"")</f>
        <v/>
      </c>
      <c r="AN51" s="113" t="str">
        <f>IF(AND(ABS(Mar!E52)&gt;קריטריונים!$B$1,Mar!B52&gt;קריטריונים!$B$3),Mar!E52,"")</f>
        <v/>
      </c>
      <c r="AO51" s="113" t="str">
        <f>IF(AND(ABS(Feb!K52)&gt;קריטריונים!$B$2,Feb!B52&gt;קריטריונים!$B$3),Feb!K52,"")</f>
        <v/>
      </c>
      <c r="AP51" s="113" t="str">
        <f>IF(AND(ABS(Feb!J52)&gt;קריטריונים!$B$2,Feb!B52&gt;קריטריונים!$B$3),Feb!J52,"")</f>
        <v/>
      </c>
      <c r="AQ51" s="113" t="str">
        <f>IF(AND(ABS(Feb!F52)&gt;קריטריונים!$B$1,Feb!B52&gt;קריטריונים!$B$3),Feb!F52,"")</f>
        <v/>
      </c>
      <c r="AR51" s="113" t="str">
        <f>IF(AND(ABS(Feb!G52)&gt;קריטריונים!$B$1,Feb!C52&gt;קריטריונים!$B$3),Feb!G52,"")</f>
        <v/>
      </c>
      <c r="AS51" s="113" t="str">
        <f>IF(AND(ABS(Feb!H52)&gt;קריטריונים!$B$1,Feb!D52&gt;קריטריונים!$B$3),Feb!H52,"")</f>
        <v/>
      </c>
      <c r="AT51" s="103" t="str">
        <f>IF(AND(ABS(Jan!E52)&gt;קריטריונים!$B$1,Jan!B52&gt;קריטריונים!$B$3),Jan!E52,"")</f>
        <v/>
      </c>
      <c r="AU51" s="118"/>
    </row>
    <row r="52" spans="1:47">
      <c r="A52" s="112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>
        <f>IF(AND(ABS(Feb!G53)&gt;קריטריונים!$B$1,Feb!C53&gt;קריטריונים!$B$3),Feb!G53,"")</f>
        <v>64.3</v>
      </c>
      <c r="AS52" s="113">
        <f>IF(AND(ABS(Feb!H53)&gt;קריטריונים!$B$1,Feb!D53&gt;קריטריונים!$B$3),Feb!H53,"")</f>
        <v>47.930999999999997</v>
      </c>
      <c r="AT52" s="103">
        <f>IF(AND(ABS(Jan!E53)&gt;קריטריונים!$B$1,Jan!B53&gt;קריטריונים!$B$3),Jan!E53,"")</f>
        <v>0.2396694214876034</v>
      </c>
      <c r="AU52" s="118" t="s">
        <v>43</v>
      </c>
    </row>
    <row r="53" spans="1:47">
      <c r="A53" s="112" t="str">
        <f>IF(AND(ABS(Dec!K54)&gt;קריטריונים!$B$2,Dec!B54&gt;קריטריונים!$B$3),Dec!K54,"")</f>
        <v/>
      </c>
      <c r="B53" s="113" t="str">
        <f>IF(AND(ABS(Dec!J54)&gt;קריטריונים!$B$2,Dec!B54&gt;קריטריונים!$B$3),Dec!J54,"")</f>
        <v/>
      </c>
      <c r="C53" s="113" t="str">
        <f>IF(AND(ABS(Dec!F54)&gt;קריטריונים!$B$1,Dec!B54&gt;קריטריונים!$B$3),Dec!F54,"")</f>
        <v/>
      </c>
      <c r="D53" s="113" t="str">
        <f>IF(AND(ABS(Dec!E54)&gt;קריטריונים!$B$1,Dec!B54&gt;קריטריונים!$B$3),Dec!E54,"")</f>
        <v/>
      </c>
      <c r="E53" s="113">
        <f>IF(AND(ABS(Nov!K54)&gt;קריטריונים!$B$2,Nov!B54&gt;קריטריונים!$B$3),Nov!K54,"")</f>
        <v>0.10169521917351321</v>
      </c>
      <c r="F53" s="113">
        <f>IF(AND(ABS(Nov!J54)&gt;קריטריונים!$B$2,Nov!B54&gt;קריטריונים!$B$3),Nov!J54,"")</f>
        <v>0.25555333036338301</v>
      </c>
      <c r="G53" s="113">
        <f>IF(AND(ABS(Nov!F54)&gt;קריטריונים!$B$1,Nov!B54&gt;קריטריונים!$B$3),Nov!F54,"")</f>
        <v>0.72861270261005817</v>
      </c>
      <c r="H53" s="113">
        <f>IF(AND(ABS(Nov!E54)&gt;קריטריונים!$B$1,Nov!B54&gt;קריטריונים!$B$3),Nov!E54,"")</f>
        <v>0.11072653472200367</v>
      </c>
      <c r="I53" s="113">
        <f>IF(AND(ABS(Oct!K54)&gt;קריטריונים!$B$2,Oct!B54&gt;קריטריונים!$B$3),Oct!K54,"")</f>
        <v>5.2155002283087226E-2</v>
      </c>
      <c r="J53" s="113">
        <f>IF(AND(ABS(Oct!J54)&gt;קריטריונים!$B$2,Oct!B54&gt;קריטריונים!$B$3),Oct!J54,"")</f>
        <v>0.27717340247637301</v>
      </c>
      <c r="K53" s="113">
        <f>IF(AND(ABS(Oct!F54)&gt;קריטריונים!$B$1,Oct!B54&gt;קריטריונים!$B$3),Oct!F54,"")</f>
        <v>0.33746732324153439</v>
      </c>
      <c r="L53" s="113">
        <f>IF(AND(ABS(Oct!E54)&gt;קריטריונים!$B$1,Oct!B54&gt;קריטריונים!$B$3),Oct!E54,"")</f>
        <v>0.40998525924501705</v>
      </c>
      <c r="M53" s="113">
        <f>IF(AND(ABS(Sep!K54)&gt;קריטריונים!$B$2,Sep!B54&gt;קריטריונים!$B$3),Sep!K54,"")</f>
        <v>1.0535464074777012E-2</v>
      </c>
      <c r="N53" s="113">
        <f>IF(AND(ABS(Sep!J54)&gt;קריטריונים!$B$2,Sep!B54&gt;קריטריונים!$B$3),Sep!J54,"")</f>
        <v>0.25436192111665168</v>
      </c>
      <c r="O53" s="113">
        <f>IF(AND(ABS(Sep!F54)&gt;קריטריונים!$B$1,Sep!B54&gt;קריטריונים!$B$3),Sep!F54,"")</f>
        <v>0.16970898935524326</v>
      </c>
      <c r="P53" s="113">
        <f>IF(AND(ABS(Sep!E54)&gt;קריטריונים!$B$1,Sep!B54&gt;קריטריונים!$B$3),Sep!E54,"")</f>
        <v>8.6874764949228966E-2</v>
      </c>
      <c r="Q53" s="113">
        <f>IF(AND(ABS(Aug!K54)&gt;קריטריונים!$B$2,Aug!B54&gt;קריטריונים!$B$3),Aug!K54,"")</f>
        <v>-9.0480387616586055E-3</v>
      </c>
      <c r="R53" s="113">
        <f>IF(AND(ABS(Aug!J54)&gt;קריטריונים!$B$2,Aug!B54&gt;קריטריונים!$B$3),Aug!J54,"")</f>
        <v>0.2830762882343838</v>
      </c>
      <c r="S53" s="113">
        <f>IF(AND(ABS(Aug!F54)&gt;קריטריונים!$B$1,Aug!B54&gt;קריטריונים!$B$3),Aug!F54,"")</f>
        <v>-1.1124845488257096E-2</v>
      </c>
      <c r="T53" s="113">
        <f>IF(AND(ABS(Aug!E54)&gt;קריטריונים!$B$1,Aug!B54&gt;קריטריונים!$B$3),Aug!E54,"")</f>
        <v>0.19465004544864306</v>
      </c>
      <c r="U53" s="113">
        <f>IF(AND(ABS(Jul!K54)&gt;קריטריונים!$B$2,Jul!B54&gt;קריטריונים!$B$3),Jul!K54,"")</f>
        <v>-0.10067374774048021</v>
      </c>
      <c r="V53" s="113">
        <f>IF(AND(ABS(Jul!J54)&gt;קריטריונים!$B$2,Jul!B54&gt;קריטריונים!$B$3),Jul!J54,"")</f>
        <v>0.29282574770569947</v>
      </c>
      <c r="W53" s="113">
        <f>IF(AND(ABS(Jul!F54)&gt;קריטריונים!$B$1,Jul!B54&gt;קריטריונים!$B$3),Jul!F54,"")</f>
        <v>-2.3752969121140222E-3</v>
      </c>
      <c r="X53" s="113">
        <f>IF(AND(ABS(Jul!E54)&gt;קריטריונים!$B$1,Jul!B54&gt;קריטריונים!$B$3),Jul!E54,"")</f>
        <v>0.21739130434782616</v>
      </c>
      <c r="Y53" s="113">
        <f>IF(AND(ABS(Jun!K54)&gt;קריטריונים!$B$2,Jun!B54&gt;קריטריונים!$B$3),Jun!K54,"")</f>
        <v>-0.27996860013444202</v>
      </c>
      <c r="Z53" s="113">
        <f>IF(AND(ABS(Jun!J54)&gt;קריטריונים!$B$2,Jun!B54&gt;קריטריונים!$B$3),Jun!J54,"")</f>
        <v>0.30345300708895495</v>
      </c>
      <c r="AA53" s="113">
        <f>IF(AND(ABS(Jun!F54)&gt;קריטריונים!$B$1,Jun!B54&gt;קריטריונים!$B$3),Jun!F54,"")</f>
        <v>-8.7497531108038706E-2</v>
      </c>
      <c r="AB53" s="113">
        <f>IF(AND(ABS(Jun!E54)&gt;קריטריונים!$B$1,Jun!B54&gt;קריטריונים!$B$3),Jun!E54,"")</f>
        <v>0.16173808086904051</v>
      </c>
      <c r="AC53" s="113">
        <f>IF(AND(ABS(May!K54)&gt;קריטריונים!$B$2,May!B54&gt;קריטריונים!$B$3),May!K54,"")</f>
        <v>4.821671758253876E-3</v>
      </c>
      <c r="AD53" s="113">
        <f>IF(AND(ABS(May!J54)&gt;קריטריונים!$B$2,May!B54&gt;קריטריונים!$B$3),May!J54,"")</f>
        <v>0.33092823712948505</v>
      </c>
      <c r="AE53" s="113">
        <f>IF(AND(ABS(May!F54)&gt;קריטריונים!$B$1,May!B54&gt;קריטריונים!$B$3),May!F54,"")</f>
        <v>-9.4240207147804345E-3</v>
      </c>
      <c r="AF53" s="113">
        <f>IF(AND(ABS(May!E54)&gt;קריטריונים!$B$1,May!B54&gt;קריטריונים!$B$3),May!E54,"")</f>
        <v>0.29334067143643372</v>
      </c>
      <c r="AG53" s="113">
        <f>IF(AND(ABS(Apr!K54)&gt;קריטריונים!$B$2,Apr!B54&gt;קריטריונים!$B$3),Apr!K54,"")</f>
        <v>9.431756177410433E-3</v>
      </c>
      <c r="AH53" s="113">
        <f>IF(AND(ABS(Apr!J54)&gt;קריטריונים!$B$2,Apr!B54&gt;קריטריונים!$B$3),Apr!J54,"")</f>
        <v>0.3433261585539793</v>
      </c>
      <c r="AI53" s="113">
        <f>IF(AND(ABS(Apr!F54)&gt;קריטריונים!$B$1,Apr!B54&gt;קריטריונים!$B$3),Apr!F54,"")</f>
        <v>-1.7366780466082865E-2</v>
      </c>
      <c r="AJ53" s="113">
        <f>IF(AND(ABS(Apr!E54)&gt;קריטריונים!$B$1,Apr!B54&gt;קריטריונים!$B$3),Apr!E54,"")</f>
        <v>0.33656369876842329</v>
      </c>
      <c r="AK53" s="113">
        <f>IF(AND(ABS(Mar!K54)&gt;קריטריונים!$B$2,Mar!B54&gt;קריטריונים!$B$3),Mar!K54,"")</f>
        <v>2.2524547841095366E-2</v>
      </c>
      <c r="AL53" s="113">
        <f>IF(AND(ABS(Mar!J54)&gt;קריטריונים!$B$2,Mar!B54&gt;קריטריונים!$B$3),Mar!J54,"")</f>
        <v>0.34652481998586637</v>
      </c>
      <c r="AM53" s="113">
        <f>IF(AND(ABS(Mar!F54)&gt;קריטריונים!$B$1,Mar!B54&gt;קריטריונים!$B$3),Mar!F54,"")</f>
        <v>2.9866117404737436E-2</v>
      </c>
      <c r="AN53" s="113">
        <f>IF(AND(ABS(Mar!E54)&gt;קריטריונים!$B$1,Mar!B54&gt;קריטריונים!$B$3),Mar!E54,"")</f>
        <v>0.31688687941705806</v>
      </c>
      <c r="AO53" s="113">
        <f>IF(AND(ABS(Feb!K54)&gt;קריטריונים!$B$2,Feb!B54&gt;קריטריונים!$B$3),Feb!K54,"")</f>
        <v>1.7153477157997754E-2</v>
      </c>
      <c r="AP53" s="113">
        <f>IF(AND(ABS(Feb!J54)&gt;קריטריונים!$B$2,Feb!B54&gt;קריטריונים!$B$3),Feb!J54,"")</f>
        <v>0.36935352988909931</v>
      </c>
      <c r="AQ53" s="113">
        <f>IF(AND(ABS(Feb!F54)&gt;קריטריונים!$B$1,Feb!B54&gt;קריטריונים!$B$3),Feb!F54,"")</f>
        <v>0.23427626528081258</v>
      </c>
      <c r="AR53" s="113">
        <f>IF(AND(ABS(Feb!G54)&gt;קריטריונים!$B$1,Feb!C54&gt;קריטריונים!$B$3),Feb!G54,"")</f>
        <v>40.5</v>
      </c>
      <c r="AS53" s="113">
        <f>IF(AND(ABS(Feb!H54)&gt;קריטריונים!$B$1,Feb!D54&gt;קריטריונים!$B$3),Feb!H54,"")</f>
        <v>29.576000000000001</v>
      </c>
      <c r="AT53" s="103">
        <f>IF(AND(ABS(Jan!E54)&gt;קריטריונים!$B$1,Jan!B54&gt;קריטריונים!$B$3),Jan!E54,"")</f>
        <v>0.22799323350667255</v>
      </c>
      <c r="AU53" s="118" t="s">
        <v>44</v>
      </c>
    </row>
    <row r="54" spans="1:47">
      <c r="A54" s="112" t="str">
        <f>IF(AND(ABS(Dec!K55)&gt;קריטריונים!$B$2,Dec!B55&gt;קריטריונים!$B$3),Dec!K55,"")</f>
        <v/>
      </c>
      <c r="B54" s="113" t="str">
        <f>IF(AND(ABS(Dec!J55)&gt;קריטריונים!$B$2,Dec!B55&gt;קריטריונים!$B$3),Dec!J55,"")</f>
        <v/>
      </c>
      <c r="C54" s="113" t="str">
        <f>IF(AND(ABS(Dec!F55)&gt;קריטריונים!$B$1,Dec!B55&gt;קריטריונים!$B$3),Dec!F55,"")</f>
        <v/>
      </c>
      <c r="D54" s="113" t="str">
        <f>IF(AND(ABS(Dec!E55)&gt;קריטריונים!$B$1,Dec!B55&gt;קריטריונים!$B$3),Dec!E55,"")</f>
        <v/>
      </c>
      <c r="E54" s="113">
        <f>IF(AND(ABS(Nov!K55)&gt;קריטריונים!$B$2,Nov!B55&gt;קריטריונים!$B$3),Nov!K55,"")</f>
        <v>0.29583704068303573</v>
      </c>
      <c r="F54" s="113">
        <f>IF(AND(ABS(Nov!J55)&gt;קריטריונים!$B$2,Nov!B55&gt;קריטריונים!$B$3),Nov!J55,"")</f>
        <v>0.11668501978057844</v>
      </c>
      <c r="G54" s="113">
        <f>IF(AND(ABS(Nov!F55)&gt;קריטריונים!$B$1,Nov!B55&gt;קריטריונים!$B$3),Nov!F55,"")</f>
        <v>0.46135403584884127</v>
      </c>
      <c r="H54" s="113">
        <f>IF(AND(ABS(Nov!E55)&gt;קריטריונים!$B$1,Nov!B55&gt;קריטריונים!$B$3),Nov!E55,"")</f>
        <v>-6.9090909090909092E-2</v>
      </c>
      <c r="I54" s="113">
        <f>IF(AND(ABS(Oct!K55)&gt;קריטריונים!$B$2,Oct!B55&gt;קריטריונים!$B$3),Oct!K55,"")</f>
        <v>0.28087359501274678</v>
      </c>
      <c r="J54" s="113">
        <f>IF(AND(ABS(Oct!J55)&gt;קריטריונים!$B$2,Oct!B55&gt;קריטריונים!$B$3),Oct!J55,"")</f>
        <v>0.14015342918829532</v>
      </c>
      <c r="K54" s="113">
        <f>IF(AND(ABS(Oct!F55)&gt;קריטריונים!$B$1,Oct!B55&gt;קריטריונים!$B$3),Oct!F55,"")</f>
        <v>0.37303424602857826</v>
      </c>
      <c r="L54" s="113">
        <f>IF(AND(ABS(Oct!E55)&gt;קריטריונים!$B$1,Oct!B55&gt;קריטריונים!$B$3),Oct!E55,"")</f>
        <v>0.29352485523050298</v>
      </c>
      <c r="M54" s="113">
        <f>IF(AND(ABS(Sep!K55)&gt;קריטריונים!$B$2,Sep!B55&gt;קריטריונים!$B$3),Sep!K55,"")</f>
        <v>0.26718824087245152</v>
      </c>
      <c r="N54" s="113">
        <f>IF(AND(ABS(Sep!J55)&gt;קריטריונים!$B$2,Sep!B55&gt;קריטריונים!$B$3),Sep!J55,"")</f>
        <v>0.11880939423117187</v>
      </c>
      <c r="O54" s="113">
        <f>IF(AND(ABS(Sep!F55)&gt;קריטריונים!$B$1,Sep!B55&gt;קריטריונים!$B$3),Sep!F55,"")</f>
        <v>0.18082593987361983</v>
      </c>
      <c r="P54" s="113">
        <f>IF(AND(ABS(Sep!E55)&gt;קריטריונים!$B$1,Sep!B55&gt;קריטריונים!$B$3),Sep!E55,"")</f>
        <v>-3.0652344773382301E-2</v>
      </c>
      <c r="Q54" s="113">
        <f>IF(AND(ABS(Aug!K55)&gt;קריטריונים!$B$2,Aug!B55&gt;קריטריונים!$B$3),Aug!K55,"")</f>
        <v>0.28688512657767173</v>
      </c>
      <c r="R54" s="113">
        <f>IF(AND(ABS(Aug!J55)&gt;קריטריונים!$B$2,Aug!B55&gt;קריטריונים!$B$3),Aug!J55,"")</f>
        <v>0.15611472215319844</v>
      </c>
      <c r="S54" s="113">
        <f>IF(AND(ABS(Aug!F55)&gt;קריטריונים!$B$1,Aug!B55&gt;קריטריונים!$B$3),Aug!F55,"")</f>
        <v>0.17004680187207488</v>
      </c>
      <c r="T54" s="113">
        <f>IF(AND(ABS(Aug!E55)&gt;קריטריונים!$B$1,Aug!B55&gt;קריטריונים!$B$3),Aug!E55,"")</f>
        <v>-8.3737329219921719E-3</v>
      </c>
      <c r="U54" s="113">
        <f>IF(AND(ABS(Jul!K55)&gt;קריטריונים!$B$2,Jul!B55&gt;קריטריונים!$B$3),Jul!K55,"")</f>
        <v>0.15586741007089522</v>
      </c>
      <c r="V54" s="113">
        <f>IF(AND(ABS(Jul!J55)&gt;קריטריונים!$B$2,Jul!B55&gt;קריטריונים!$B$3),Jul!J55,"")</f>
        <v>0.1782688055559678</v>
      </c>
      <c r="W54" s="113">
        <f>IF(AND(ABS(Jul!F55)&gt;קריטריונים!$B$1,Jul!B55&gt;קריטריונים!$B$3),Jul!F55,"")</f>
        <v>8.0024686278543644E-2</v>
      </c>
      <c r="X54" s="113">
        <f>IF(AND(ABS(Jul!E55)&gt;קריטריונים!$B$1,Jul!B55&gt;קריטריונים!$B$3),Jul!E55,"")</f>
        <v>1.7639077340569909E-2</v>
      </c>
      <c r="Y54" s="113">
        <f>IF(AND(ABS(Jun!K55)&gt;קריטריונים!$B$2,Jun!B55&gt;קריטריונים!$B$3),Jun!K55,"")</f>
        <v>0.12458582923923167</v>
      </c>
      <c r="Z54" s="113">
        <f>IF(AND(ABS(Jun!J55)&gt;קריטריונים!$B$2,Jun!B55&gt;קריטריונים!$B$3),Jun!J55,"")</f>
        <v>0.20731044875501592</v>
      </c>
      <c r="AA54" s="113">
        <f>IF(AND(ABS(Jun!F55)&gt;קריטריונים!$B$1,Jun!B55&gt;קריטריונים!$B$3),Jun!F55,"")</f>
        <v>0.19567477646080267</v>
      </c>
      <c r="AB54" s="113">
        <f>IF(AND(ABS(Jun!E55)&gt;קריטריונים!$B$1,Jun!B55&gt;קריטריונים!$B$3),Jun!E55,"")</f>
        <v>7.1761416589002813E-2</v>
      </c>
      <c r="AC54" s="113">
        <f>IF(AND(ABS(May!K55)&gt;קריטריונים!$B$2,May!B55&gt;קריטריונים!$B$3),May!K55,"")</f>
        <v>0.37778737908355553</v>
      </c>
      <c r="AD54" s="113">
        <f>IF(AND(ABS(May!J55)&gt;קריטריונים!$B$2,May!B55&gt;קריטריונים!$B$3),May!J55,"")</f>
        <v>0.23869742549472384</v>
      </c>
      <c r="AE54" s="113">
        <f>IF(AND(ABS(May!F55)&gt;קריטריונים!$B$1,May!B55&gt;קריטריונים!$B$3),May!F55,"")</f>
        <v>0.36081254314170197</v>
      </c>
      <c r="AF54" s="113">
        <f>IF(AND(ABS(May!E55)&gt;קריטריונים!$B$1,May!B55&gt;קריטריונים!$B$3),May!E55,"")</f>
        <v>0.20429356837420376</v>
      </c>
      <c r="AG54" s="113">
        <f>IF(AND(ABS(Apr!K55)&gt;קריטריונים!$B$2,Apr!B55&gt;קריטריונים!$B$3),Apr!K55,"")</f>
        <v>0.38324873096446699</v>
      </c>
      <c r="AH54" s="113">
        <f>IF(AND(ABS(Apr!J55)&gt;קריטריונים!$B$2,Apr!B55&gt;קריטריונים!$B$3),Apr!J55,"")</f>
        <v>0.25000000000000022</v>
      </c>
      <c r="AI54" s="113">
        <f>IF(AND(ABS(Apr!F55)&gt;קריטריונים!$B$1,Apr!B55&gt;קריטריונים!$B$3),Apr!F55,"")</f>
        <v>0.36330523467582476</v>
      </c>
      <c r="AJ54" s="113">
        <f>IF(AND(ABS(Apr!E55)&gt;קריטריונים!$B$1,Apr!B55&gt;קריטריונים!$B$3),Apr!E55,"")</f>
        <v>0.19438366156090447</v>
      </c>
      <c r="AK54" s="113">
        <f>IF(AND(ABS(Mar!K55)&gt;קריטריונים!$B$2,Mar!B55&gt;קריטריונים!$B$3),Mar!K55,"")</f>
        <v>0.39199488841221286</v>
      </c>
      <c r="AL54" s="113">
        <f>IF(AND(ABS(Mar!J55)&gt;קריטריונים!$B$2,Mar!B55&gt;קריטריונים!$B$3),Mar!J55,"")</f>
        <v>0.27551020408163263</v>
      </c>
      <c r="AM54" s="113">
        <f>IF(AND(ABS(Mar!F55)&gt;קריטריונים!$B$1,Mar!B55&gt;קריטריונים!$B$3),Mar!F55,"")</f>
        <v>0.47706968433591435</v>
      </c>
      <c r="AN54" s="113">
        <f>IF(AND(ABS(Mar!E55)&gt;קריטריונים!$B$1,Mar!B55&gt;קריטריונים!$B$3),Mar!E55,"")</f>
        <v>0.27650813259213503</v>
      </c>
      <c r="AO54" s="113">
        <f>IF(AND(ABS(Feb!K55)&gt;קריטריונים!$B$2,Feb!B55&gt;קריטריונים!$B$3),Feb!K55,"")</f>
        <v>0.33915359573838422</v>
      </c>
      <c r="AP54" s="113">
        <f>IF(AND(ABS(Feb!J55)&gt;קריטריונים!$B$2,Feb!B55&gt;קריטריונים!$B$3),Feb!J55,"")</f>
        <v>0.27482744048457541</v>
      </c>
      <c r="AQ54" s="113">
        <f>IF(AND(ABS(Feb!F55)&gt;קריטריונים!$B$1,Feb!B55&gt;קריטריונים!$B$3),Feb!F55,"")</f>
        <v>0.4961782403642867</v>
      </c>
      <c r="AR54" s="113">
        <f>IF(AND(ABS(Feb!G55)&gt;קריטריונים!$B$1,Feb!C55&gt;קריטריונים!$B$3),Feb!G55,"")</f>
        <v>18.100000000000001</v>
      </c>
      <c r="AS54" s="113">
        <f>IF(AND(ABS(Feb!H55)&gt;קריטריונים!$B$1,Feb!D55&gt;קריטריונים!$B$3),Feb!H55,"")</f>
        <v>14.198</v>
      </c>
      <c r="AT54" s="103">
        <f>IF(AND(ABS(Jan!E55)&gt;קריטריונים!$B$1,Jan!B55&gt;קריטריונים!$B$3),Jan!E55,"")</f>
        <v>0.23319939032839132</v>
      </c>
      <c r="AU54" s="118" t="s">
        <v>45</v>
      </c>
    </row>
    <row r="55" spans="1:47">
      <c r="A55" s="112" t="str">
        <f>IF(AND(ABS(Dec!K56)&gt;קריטריונים!$B$2,Dec!B56&gt;קריטריונים!$B$3),Dec!K56,"")</f>
        <v/>
      </c>
      <c r="B55" s="113" t="str">
        <f>IF(AND(ABS(Dec!J56)&gt;קריטריונים!$B$2,Dec!B56&gt;קריטריונים!$B$3),Dec!J56,"")</f>
        <v/>
      </c>
      <c r="C55" s="113" t="str">
        <f>IF(AND(ABS(Dec!F56)&gt;קריטריונים!$B$1,Dec!B56&gt;קריטריונים!$B$3),Dec!F56,"")</f>
        <v/>
      </c>
      <c r="D55" s="113" t="str">
        <f>IF(AND(ABS(Dec!E56)&gt;קריטריונים!$B$1,Dec!B56&gt;קריטריונים!$B$3),Dec!E56,"")</f>
        <v/>
      </c>
      <c r="E55" s="113">
        <f>IF(AND(ABS(Nov!K56)&gt;קריטריונים!$B$2,Nov!B56&gt;קריטריונים!$B$3),Nov!K56,"")</f>
        <v>0.62601626016260181</v>
      </c>
      <c r="F55" s="113">
        <f>IF(AND(ABS(Nov!J56)&gt;קריטריונים!$B$2,Nov!B56&gt;קריטריונים!$B$3),Nov!J56,"")</f>
        <v>0.13846591717660472</v>
      </c>
      <c r="G55" s="113">
        <f>IF(AND(ABS(Nov!F56)&gt;קריטריונים!$B$1,Nov!B56&gt;קריטריונים!$B$3),Nov!F56,"")</f>
        <v>1.3711340206185567</v>
      </c>
      <c r="H55" s="113">
        <f>IF(AND(ABS(Nov!E56)&gt;קריטריונים!$B$1,Nov!B56&gt;קריטריונים!$B$3),Nov!E56,"")</f>
        <v>0.11922141119221386</v>
      </c>
      <c r="I55" s="113">
        <f>IF(AND(ABS(Oct!K56)&gt;קריטריונים!$B$2,Oct!B56&gt;קריטריונים!$B$3),Oct!K56,"")</f>
        <v>0.57360406091370586</v>
      </c>
      <c r="J55" s="113">
        <f>IF(AND(ABS(Oct!J56)&gt;קריטריונים!$B$2,Oct!B56&gt;קריטריונים!$B$3),Oct!J56,"")</f>
        <v>0.14054451802796186</v>
      </c>
      <c r="K55" s="113">
        <f>IF(AND(ABS(Oct!F56)&gt;קריטריונים!$B$1,Oct!B56&gt;קריטריונים!$B$3),Oct!F56,"")</f>
        <v>1.0174482006543077</v>
      </c>
      <c r="L55" s="113">
        <f>IF(AND(ABS(Oct!E56)&gt;קריטריונים!$B$1,Oct!B56&gt;קריטריונים!$B$3),Oct!E56,"")</f>
        <v>0.28830083565459619</v>
      </c>
      <c r="M55" s="113">
        <f>IF(AND(ABS(Sep!K56)&gt;קריטריונים!$B$2,Sep!B56&gt;קריטריונים!$B$3),Sep!K56,"")</f>
        <v>0.50552024088323888</v>
      </c>
      <c r="N55" s="113">
        <f>IF(AND(ABS(Sep!J56)&gt;קריטריונים!$B$2,Sep!B56&gt;קריטריונים!$B$3),Sep!J56,"")</f>
        <v>0.11427510214188463</v>
      </c>
      <c r="O55" s="113">
        <f>IF(AND(ABS(Sep!F56)&gt;קריטריונים!$B$1,Sep!B56&gt;קריטריונים!$B$3),Sep!F56,"")</f>
        <v>0.55844155844155852</v>
      </c>
      <c r="P55" s="113">
        <f>IF(AND(ABS(Sep!E56)&gt;קריטריונים!$B$1,Sep!B56&gt;קריטריונים!$B$3),Sep!E56,"")</f>
        <v>0.22866894197952226</v>
      </c>
      <c r="Q55" s="113">
        <f>IF(AND(ABS(Aug!K56)&gt;קריטריונים!$B$2,Aug!B56&gt;קריטריונים!$B$3),Aug!K56,"")</f>
        <v>0.49284677586564385</v>
      </c>
      <c r="R55" s="113">
        <f>IF(AND(ABS(Aug!J56)&gt;קריטריונים!$B$2,Aug!B56&gt;קריטריונים!$B$3),Aug!J56,"")</f>
        <v>8.8929219600726084E-2</v>
      </c>
      <c r="S55" s="113">
        <f>IF(AND(ABS(Aug!F56)&gt;קריטריונים!$B$1,Aug!B56&gt;קריטריונים!$B$3),Aug!F56,"")</f>
        <v>0.64285714285714279</v>
      </c>
      <c r="T55" s="113">
        <f>IF(AND(ABS(Aug!E56)&gt;קריטריונים!$B$1,Aug!B56&gt;קריטריונים!$B$3),Aug!E56,"")</f>
        <v>0.27353266888150585</v>
      </c>
      <c r="U55" s="113">
        <f>IF(AND(ABS(Jul!K56)&gt;קריטריונים!$B$2,Jul!B56&gt;קריטריונים!$B$3),Jul!K56,"")</f>
        <v>0.25440597138710341</v>
      </c>
      <c r="V55" s="113">
        <f>IF(AND(ABS(Jul!J56)&gt;קריטריונים!$B$2,Jul!B56&gt;קריטריונים!$B$3),Jul!J56,"")</f>
        <v>5.9730250481695668E-2</v>
      </c>
      <c r="W55" s="113">
        <f>IF(AND(ABS(Jul!F56)&gt;קריטריונים!$B$1,Jul!B56&gt;קריטריונים!$B$3),Jul!F56,"")</f>
        <v>0.6272189349112427</v>
      </c>
      <c r="X55" s="113">
        <f>IF(AND(ABS(Jul!E56)&gt;קריטריונים!$B$1,Jul!B56&gt;קריטריונים!$B$3),Jul!E56,"")</f>
        <v>0.19695321001088151</v>
      </c>
      <c r="Y55" s="113">
        <f>IF(AND(ABS(Jun!K56)&gt;קריטריונים!$B$2,Jun!B56&gt;קריטריונים!$B$3),Jun!K56,"")</f>
        <v>-0.11115101454480159</v>
      </c>
      <c r="Z55" s="113">
        <f>IF(AND(ABS(Jun!J56)&gt;קריטריונים!$B$2,Jun!B56&gt;קריטריונים!$B$3),Jun!J56,"")</f>
        <v>3.3402922755741082E-2</v>
      </c>
      <c r="AA55" s="113">
        <f>IF(AND(ABS(Jun!F56)&gt;קריטריונים!$B$1,Jun!B56&gt;קריטריונים!$B$3),Jun!F56,"")</f>
        <v>0.98255352894528158</v>
      </c>
      <c r="AB55" s="113">
        <f>IF(AND(ABS(Jun!E56)&gt;קריטריונים!$B$1,Jun!B56&gt;קריטריונים!$B$3),Jun!E56,"")</f>
        <v>0.33761369716425893</v>
      </c>
      <c r="AC55" s="113">
        <f>IF(AND(ABS(May!K56)&gt;קריטריונים!$B$2,May!B56&gt;קריטריונים!$B$3),May!K56,"")</f>
        <v>0.31368720042606069</v>
      </c>
      <c r="AD55" s="113">
        <f>IF(AND(ABS(May!J56)&gt;קריטריונים!$B$2,May!B56&gt;קריטריונים!$B$3),May!J56,"")</f>
        <v>-4.0331993256386922E-2</v>
      </c>
      <c r="AE55" s="113">
        <f>IF(AND(ABS(May!F56)&gt;קריטריונים!$B$1,May!B56&gt;קריטריונים!$B$3),May!F56,"")</f>
        <v>0.68067226890756305</v>
      </c>
      <c r="AF55" s="113">
        <f>IF(AND(ABS(May!E56)&gt;קריטריונים!$B$1,May!B56&gt;קריטריונים!$B$3),May!E56,"")</f>
        <v>0.13935144609991235</v>
      </c>
      <c r="AG55" s="113">
        <f>IF(AND(ABS(Apr!K56)&gt;קריטריונים!$B$2,Apr!B56&gt;קריטריונים!$B$3),Apr!K56,"")</f>
        <v>0.17474302496328931</v>
      </c>
      <c r="AH55" s="113">
        <f>IF(AND(ABS(Apr!J56)&gt;קריטריונים!$B$2,Apr!B56&gt;קריטריונים!$B$3),Apr!J56,"")</f>
        <v>-0.11585927426782083</v>
      </c>
      <c r="AI55" s="113">
        <f>IF(AND(ABS(Apr!F56)&gt;קריטריונים!$B$1,Apr!B56&gt;קריטריונים!$B$3),Apr!F56,"")</f>
        <v>0.46036161335187775</v>
      </c>
      <c r="AJ55" s="113">
        <f>IF(AND(ABS(Apr!E56)&gt;קריטריונים!$B$1,Apr!B56&gt;קריטריונים!$B$3),Apr!E56,"")</f>
        <v>0.24333925399644762</v>
      </c>
      <c r="AK55" s="113" t="str">
        <f>IF(AND(ABS(Mar!K56)&gt;קריטריונים!$B$2,Mar!B56&gt;קריטריונים!$B$3),Mar!K56,"")</f>
        <v/>
      </c>
      <c r="AL55" s="113" t="str">
        <f>IF(AND(ABS(Mar!J56)&gt;קריטריונים!$B$2,Mar!B56&gt;קריטריונים!$B$3),Mar!J56,"")</f>
        <v/>
      </c>
      <c r="AM55" s="113" t="str">
        <f>IF(AND(ABS(Mar!F56)&gt;קריטריונים!$B$1,Mar!B56&gt;קריטריונים!$B$3),Mar!F56,"")</f>
        <v/>
      </c>
      <c r="AN55" s="113" t="str">
        <f>IF(AND(ABS(Mar!E56)&gt;קריטריונים!$B$1,Mar!B56&gt;קריטריונים!$B$3),Mar!E56,"")</f>
        <v/>
      </c>
      <c r="AO55" s="113" t="str">
        <f>IF(AND(ABS(Feb!K56)&gt;קריטריונים!$B$2,Feb!B56&gt;קריטריונים!$B$3),Feb!K56,"")</f>
        <v/>
      </c>
      <c r="AP55" s="113" t="str">
        <f>IF(AND(ABS(Feb!J56)&gt;קריטריונים!$B$2,Feb!B56&gt;קריטריונים!$B$3),Feb!J56,"")</f>
        <v/>
      </c>
      <c r="AQ55" s="113" t="str">
        <f>IF(AND(ABS(Feb!F56)&gt;קריטריונים!$B$1,Feb!B56&gt;קריטריונים!$B$3),Feb!F56,"")</f>
        <v/>
      </c>
      <c r="AR55" s="113" t="str">
        <f>IF(AND(ABS(Feb!G56)&gt;קריטריונים!$B$1,Feb!C56&gt;קריטריונים!$B$3),Feb!G56,"")</f>
        <v/>
      </c>
      <c r="AS55" s="113" t="str">
        <f>IF(AND(ABS(Feb!H56)&gt;קריטריונים!$B$1,Feb!D56&gt;קריטריונים!$B$3),Feb!H56,"")</f>
        <v/>
      </c>
      <c r="AT55" s="103" t="str">
        <f>IF(AND(ABS(Jan!E56)&gt;קריטריונים!$B$1,Jan!B56&gt;קריטריונים!$B$3),Jan!E56,"")</f>
        <v/>
      </c>
      <c r="AU55" s="118" t="s">
        <v>46</v>
      </c>
    </row>
    <row r="56" spans="1:47">
      <c r="A56" s="112" t="str">
        <f>IF(AND(ABS(Dec!K57)&gt;קריטריונים!$B$2,Dec!B57&gt;קריטריונים!$B$3),Dec!K57,"")</f>
        <v/>
      </c>
      <c r="B56" s="113" t="str">
        <f>IF(AND(ABS(Dec!J57)&gt;קריטריונים!$B$2,Dec!B57&gt;קריטריונים!$B$3),Dec!J57,"")</f>
        <v/>
      </c>
      <c r="C56" s="113" t="str">
        <f>IF(AND(ABS(Dec!F57)&gt;קריטריונים!$B$1,Dec!B57&gt;קריטריונים!$B$3),Dec!F57,"")</f>
        <v/>
      </c>
      <c r="D56" s="113" t="str">
        <f>IF(AND(ABS(Dec!E57)&gt;קריטריונים!$B$1,Dec!B57&gt;קריטריונים!$B$3),Dec!E57,"")</f>
        <v/>
      </c>
      <c r="E56" s="113" t="str">
        <f>IF(AND(ABS(Nov!K57)&gt;קריטריונים!$B$2,Nov!B57&gt;קריטריונים!$B$3),Nov!K57,"")</f>
        <v/>
      </c>
      <c r="F56" s="113" t="str">
        <f>IF(AND(ABS(Nov!J57)&gt;קריטריונים!$B$2,Nov!B57&gt;קריטריונים!$B$3),Nov!J57,"")</f>
        <v/>
      </c>
      <c r="G56" s="113" t="str">
        <f>IF(AND(ABS(Nov!F57)&gt;קריטריונים!$B$1,Nov!B57&gt;קריטריונים!$B$3),Nov!F57,"")</f>
        <v/>
      </c>
      <c r="H56" s="113" t="str">
        <f>IF(AND(ABS(Nov!E57)&gt;קריטריונים!$B$1,Nov!B57&gt;קריטריונים!$B$3),Nov!E57,"")</f>
        <v/>
      </c>
      <c r="I56" s="113" t="str">
        <f>IF(AND(ABS(Oct!K57)&gt;קריטריונים!$B$2,Oct!B57&gt;קריטריונים!$B$3),Oct!K57,"")</f>
        <v/>
      </c>
      <c r="J56" s="113" t="str">
        <f>IF(AND(ABS(Oct!J57)&gt;קריטריונים!$B$2,Oct!B57&gt;קריטריונים!$B$3),Oct!J57,"")</f>
        <v/>
      </c>
      <c r="K56" s="113" t="str">
        <f>IF(AND(ABS(Oct!F57)&gt;קריטריונים!$B$1,Oct!B57&gt;קריטריונים!$B$3),Oct!F57,"")</f>
        <v/>
      </c>
      <c r="L56" s="113" t="str">
        <f>IF(AND(ABS(Oct!E57)&gt;קריטריונים!$B$1,Oct!B57&gt;קריטריונים!$B$3),Oct!E57,"")</f>
        <v/>
      </c>
      <c r="M56" s="113" t="str">
        <f>IF(AND(ABS(Sep!K57)&gt;קריטריונים!$B$2,Sep!B57&gt;קריטריונים!$B$3),Sep!K57,"")</f>
        <v/>
      </c>
      <c r="N56" s="113" t="str">
        <f>IF(AND(ABS(Sep!J57)&gt;קריטריונים!$B$2,Sep!B57&gt;קריטריונים!$B$3),Sep!J57,"")</f>
        <v/>
      </c>
      <c r="O56" s="113" t="str">
        <f>IF(AND(ABS(Sep!F57)&gt;קריטריונים!$B$1,Sep!B57&gt;קריטריונים!$B$3),Sep!F57,"")</f>
        <v/>
      </c>
      <c r="P56" s="113" t="str">
        <f>IF(AND(ABS(Sep!E57)&gt;קריטריונים!$B$1,Sep!B57&gt;קריטריונים!$B$3),Sep!E57,"")</f>
        <v/>
      </c>
      <c r="Q56" s="113" t="str">
        <f>IF(AND(ABS(Aug!K57)&gt;קריטריונים!$B$2,Aug!B57&gt;קריטריונים!$B$3),Aug!K57,"")</f>
        <v/>
      </c>
      <c r="R56" s="113" t="str">
        <f>IF(AND(ABS(Aug!J57)&gt;קריטריונים!$B$2,Aug!B57&gt;קריטריונים!$B$3),Aug!J57,"")</f>
        <v/>
      </c>
      <c r="S56" s="113" t="str">
        <f>IF(AND(ABS(Aug!F57)&gt;קריטריונים!$B$1,Aug!B57&gt;קריטריונים!$B$3),Aug!F57,"")</f>
        <v/>
      </c>
      <c r="T56" s="113" t="str">
        <f>IF(AND(ABS(Aug!E57)&gt;קריטריונים!$B$1,Aug!B57&gt;קריטריונים!$B$3),Aug!E57,"")</f>
        <v/>
      </c>
      <c r="U56" s="113" t="str">
        <f>IF(AND(ABS(Jul!K57)&gt;קריטריונים!$B$2,Jul!B57&gt;קריטריונים!$B$3),Jul!K57,"")</f>
        <v/>
      </c>
      <c r="V56" s="113" t="str">
        <f>IF(AND(ABS(Jul!J57)&gt;קריטריונים!$B$2,Jul!B57&gt;קריטריונים!$B$3),Jul!J57,"")</f>
        <v/>
      </c>
      <c r="W56" s="113" t="str">
        <f>IF(AND(ABS(Jul!F57)&gt;קריטריונים!$B$1,Jul!B57&gt;קריטריונים!$B$3),Jul!F57,"")</f>
        <v/>
      </c>
      <c r="X56" s="113" t="str">
        <f>IF(AND(ABS(Jul!E57)&gt;קריטריונים!$B$1,Jul!B57&gt;קריטריונים!$B$3),Jul!E57,"")</f>
        <v/>
      </c>
      <c r="Y56" s="113" t="str">
        <f>IF(AND(ABS(Jun!K57)&gt;קריטריונים!$B$2,Jun!B57&gt;קריטריונים!$B$3),Jun!K57,"")</f>
        <v/>
      </c>
      <c r="Z56" s="113" t="str">
        <f>IF(AND(ABS(Jun!J57)&gt;קריטריונים!$B$2,Jun!B57&gt;קריטריונים!$B$3),Jun!J57,"")</f>
        <v/>
      </c>
      <c r="AA56" s="113" t="str">
        <f>IF(AND(ABS(Jun!F57)&gt;קריטריונים!$B$1,Jun!B57&gt;קריטריונים!$B$3),Jun!F57,"")</f>
        <v/>
      </c>
      <c r="AB56" s="113" t="str">
        <f>IF(AND(ABS(Jun!E57)&gt;קריטריונים!$B$1,Jun!B57&gt;קריטריונים!$B$3),Jun!E57,"")</f>
        <v/>
      </c>
      <c r="AC56" s="113" t="str">
        <f>IF(AND(ABS(May!K57)&gt;קריטריונים!$B$2,May!B57&gt;קריטריונים!$B$3),May!K57,"")</f>
        <v/>
      </c>
      <c r="AD56" s="113" t="str">
        <f>IF(AND(ABS(May!J57)&gt;קריטריונים!$B$2,May!B57&gt;קריטריונים!$B$3),May!J57,"")</f>
        <v/>
      </c>
      <c r="AE56" s="113" t="str">
        <f>IF(AND(ABS(May!F57)&gt;קריטריונים!$B$1,May!B57&gt;קריטריונים!$B$3),May!F57,"")</f>
        <v/>
      </c>
      <c r="AF56" s="113" t="str">
        <f>IF(AND(ABS(May!E57)&gt;קריטריונים!$B$1,May!B57&gt;קריטריונים!$B$3),May!E57,"")</f>
        <v/>
      </c>
      <c r="AG56" s="113" t="str">
        <f>IF(AND(ABS(Apr!K57)&gt;קריטריונים!$B$2,Apr!B57&gt;קריטריונים!$B$3),Apr!K57,"")</f>
        <v/>
      </c>
      <c r="AH56" s="113" t="str">
        <f>IF(AND(ABS(Apr!J57)&gt;קריטריונים!$B$2,Apr!B57&gt;קריטריונים!$B$3),Apr!J57,"")</f>
        <v/>
      </c>
      <c r="AI56" s="113" t="str">
        <f>IF(AND(ABS(Apr!F57)&gt;קריטריונים!$B$1,Apr!B57&gt;קריטריונים!$B$3),Apr!F57,"")</f>
        <v/>
      </c>
      <c r="AJ56" s="113" t="str">
        <f>IF(AND(ABS(Apr!E57)&gt;קריטריונים!$B$1,Apr!B57&gt;קריטריונים!$B$3),Apr!E57,"")</f>
        <v/>
      </c>
      <c r="AK56" s="113" t="str">
        <f>IF(AND(ABS(Mar!K57)&gt;קריטריונים!$B$2,Mar!B57&gt;קריטריונים!$B$3),Mar!K57,"")</f>
        <v/>
      </c>
      <c r="AL56" s="113" t="str">
        <f>IF(AND(ABS(Mar!J57)&gt;קריטריונים!$B$2,Mar!B57&gt;קריטריונים!$B$3),Mar!J57,"")</f>
        <v/>
      </c>
      <c r="AM56" s="113" t="str">
        <f>IF(AND(ABS(Mar!F57)&gt;קריטריונים!$B$1,Mar!B57&gt;קריטריונים!$B$3),Mar!F57,"")</f>
        <v/>
      </c>
      <c r="AN56" s="113" t="str">
        <f>IF(AND(ABS(Mar!E57)&gt;קריטריונים!$B$1,Mar!B57&gt;קריטריונים!$B$3),Mar!E57,"")</f>
        <v/>
      </c>
      <c r="AO56" s="113" t="str">
        <f>IF(AND(ABS(Feb!K57)&gt;קריטריונים!$B$2,Feb!B57&gt;קריטריונים!$B$3),Feb!K57,"")</f>
        <v/>
      </c>
      <c r="AP56" s="113" t="str">
        <f>IF(AND(ABS(Feb!J57)&gt;קריטריונים!$B$2,Feb!B57&gt;קריטריונים!$B$3),Feb!J57,"")</f>
        <v/>
      </c>
      <c r="AQ56" s="113" t="str">
        <f>IF(AND(ABS(Feb!F57)&gt;קריטריונים!$B$1,Feb!B57&gt;קריטריונים!$B$3),Feb!F57,"")</f>
        <v/>
      </c>
      <c r="AR56" s="113" t="str">
        <f>IF(AND(ABS(Feb!G57)&gt;קריטריונים!$B$1,Feb!C57&gt;קריטריונים!$B$3),Feb!G57,"")</f>
        <v/>
      </c>
      <c r="AS56" s="113" t="str">
        <f>IF(AND(ABS(Feb!H57)&gt;קריטריונים!$B$1,Feb!D57&gt;קריטריונים!$B$3),Feb!H57,"")</f>
        <v/>
      </c>
      <c r="AT56" s="103" t="str">
        <f>IF(AND(ABS(Jan!E57)&gt;קריטריונים!$B$1,Jan!B57&gt;קריטריונים!$B$3),Jan!E57,"")</f>
        <v/>
      </c>
      <c r="AU56" s="118" t="s">
        <v>47</v>
      </c>
    </row>
    <row r="57" spans="1:47">
      <c r="A57" s="112" t="str">
        <f>IF(AND(ABS(Dec!K58)&gt;קריטריונים!$B$2,Dec!B58&gt;קריטריונים!$B$3),Dec!K58,"")</f>
        <v/>
      </c>
      <c r="B57" s="113" t="str">
        <f>IF(AND(ABS(Dec!J58)&gt;קריטריונים!$B$2,Dec!B58&gt;קריטריונים!$B$3),Dec!J58,"")</f>
        <v/>
      </c>
      <c r="C57" s="113" t="str">
        <f>IF(AND(ABS(Dec!F58)&gt;קריטריונים!$B$1,Dec!B58&gt;קריטריונים!$B$3),Dec!F58,"")</f>
        <v/>
      </c>
      <c r="D57" s="113" t="str">
        <f>IF(AND(ABS(Dec!E58)&gt;קריטריונים!$B$1,Dec!B58&gt;קריטריונים!$B$3),Dec!E58,"")</f>
        <v/>
      </c>
      <c r="E57" s="113" t="str">
        <f>IF(AND(ABS(Nov!K58)&gt;קריטריונים!$B$2,Nov!B58&gt;קריטריונים!$B$3),Nov!K58,"")</f>
        <v/>
      </c>
      <c r="F57" s="113" t="str">
        <f>IF(AND(ABS(Nov!J58)&gt;קריטריונים!$B$2,Nov!B58&gt;קריטריונים!$B$3),Nov!J58,"")</f>
        <v/>
      </c>
      <c r="G57" s="113" t="str">
        <f>IF(AND(ABS(Nov!F58)&gt;קריטריונים!$B$1,Nov!B58&gt;קריטריונים!$B$3),Nov!F58,"")</f>
        <v/>
      </c>
      <c r="H57" s="113" t="str">
        <f>IF(AND(ABS(Nov!E58)&gt;קריטריונים!$B$1,Nov!B58&gt;קריטריונים!$B$3),Nov!E58,"")</f>
        <v/>
      </c>
      <c r="I57" s="113" t="str">
        <f>IF(AND(ABS(Oct!K58)&gt;קריטריונים!$B$2,Oct!B58&gt;קריטריונים!$B$3),Oct!K58,"")</f>
        <v/>
      </c>
      <c r="J57" s="113" t="str">
        <f>IF(AND(ABS(Oct!J58)&gt;קריטריונים!$B$2,Oct!B58&gt;קריטריונים!$B$3),Oct!J58,"")</f>
        <v/>
      </c>
      <c r="K57" s="113" t="str">
        <f>IF(AND(ABS(Oct!F58)&gt;קריטריונים!$B$1,Oct!B58&gt;קריטריונים!$B$3),Oct!F58,"")</f>
        <v/>
      </c>
      <c r="L57" s="113" t="str">
        <f>IF(AND(ABS(Oct!E58)&gt;קריטריונים!$B$1,Oct!B58&gt;קריטריונים!$B$3),Oct!E58,"")</f>
        <v/>
      </c>
      <c r="M57" s="113" t="str">
        <f>IF(AND(ABS(Sep!K58)&gt;קריטריונים!$B$2,Sep!B58&gt;קריטריונים!$B$3),Sep!K58,"")</f>
        <v/>
      </c>
      <c r="N57" s="113" t="str">
        <f>IF(AND(ABS(Sep!J58)&gt;קריטריונים!$B$2,Sep!B58&gt;קריטריונים!$B$3),Sep!J58,"")</f>
        <v/>
      </c>
      <c r="O57" s="113" t="str">
        <f>IF(AND(ABS(Sep!F58)&gt;קריטריונים!$B$1,Sep!B58&gt;קריטריונים!$B$3),Sep!F58,"")</f>
        <v/>
      </c>
      <c r="P57" s="113" t="str">
        <f>IF(AND(ABS(Sep!E58)&gt;קריטריונים!$B$1,Sep!B58&gt;קריטריונים!$B$3),Sep!E58,"")</f>
        <v/>
      </c>
      <c r="Q57" s="113" t="str">
        <f>IF(AND(ABS(Aug!K58)&gt;קריטריונים!$B$2,Aug!B58&gt;קריטריונים!$B$3),Aug!K58,"")</f>
        <v/>
      </c>
      <c r="R57" s="113" t="str">
        <f>IF(AND(ABS(Aug!J58)&gt;קריטריונים!$B$2,Aug!B58&gt;קריטריונים!$B$3),Aug!J58,"")</f>
        <v/>
      </c>
      <c r="S57" s="113" t="str">
        <f>IF(AND(ABS(Aug!F58)&gt;קריטריונים!$B$1,Aug!B58&gt;קריטריונים!$B$3),Aug!F58,"")</f>
        <v/>
      </c>
      <c r="T57" s="113" t="str">
        <f>IF(AND(ABS(Aug!E58)&gt;קריטריונים!$B$1,Aug!B58&gt;קריטריונים!$B$3),Aug!E58,"")</f>
        <v/>
      </c>
      <c r="U57" s="113" t="str">
        <f>IF(AND(ABS(Jul!K58)&gt;קריטריונים!$B$2,Jul!B58&gt;קריטריונים!$B$3),Jul!K58,"")</f>
        <v/>
      </c>
      <c r="V57" s="113" t="str">
        <f>IF(AND(ABS(Jul!J58)&gt;קריטריונים!$B$2,Jul!B58&gt;קריטריונים!$B$3),Jul!J58,"")</f>
        <v/>
      </c>
      <c r="W57" s="113" t="str">
        <f>IF(AND(ABS(Jul!F58)&gt;קריטריונים!$B$1,Jul!B58&gt;קריטריונים!$B$3),Jul!F58,"")</f>
        <v/>
      </c>
      <c r="X57" s="113" t="str">
        <f>IF(AND(ABS(Jul!E58)&gt;קריטריונים!$B$1,Jul!B58&gt;קריטריונים!$B$3),Jul!E58,"")</f>
        <v/>
      </c>
      <c r="Y57" s="113" t="str">
        <f>IF(AND(ABS(Jun!K58)&gt;קריטריונים!$B$2,Jun!B58&gt;קריטריונים!$B$3),Jun!K58,"")</f>
        <v/>
      </c>
      <c r="Z57" s="113" t="str">
        <f>IF(AND(ABS(Jun!J58)&gt;קריטריונים!$B$2,Jun!B58&gt;קריטריונים!$B$3),Jun!J58,"")</f>
        <v/>
      </c>
      <c r="AA57" s="113" t="str">
        <f>IF(AND(ABS(Jun!F58)&gt;קריטריונים!$B$1,Jun!B58&gt;קריטריונים!$B$3),Jun!F58,"")</f>
        <v/>
      </c>
      <c r="AB57" s="113" t="str">
        <f>IF(AND(ABS(Jun!E58)&gt;קריטריונים!$B$1,Jun!B58&gt;קריטריונים!$B$3),Jun!E58,"")</f>
        <v/>
      </c>
      <c r="AC57" s="113" t="str">
        <f>IF(AND(ABS(May!K58)&gt;קריטריונים!$B$2,May!B58&gt;קריטריונים!$B$3),May!K58,"")</f>
        <v/>
      </c>
      <c r="AD57" s="113" t="str">
        <f>IF(AND(ABS(May!J58)&gt;קריטריונים!$B$2,May!B58&gt;קריטריונים!$B$3),May!J58,"")</f>
        <v/>
      </c>
      <c r="AE57" s="113" t="str">
        <f>IF(AND(ABS(May!F58)&gt;קריטריונים!$B$1,May!B58&gt;קריטריונים!$B$3),May!F58,"")</f>
        <v/>
      </c>
      <c r="AF57" s="113" t="str">
        <f>IF(AND(ABS(May!E58)&gt;קריטריונים!$B$1,May!B58&gt;קריטריונים!$B$3),May!E58,"")</f>
        <v/>
      </c>
      <c r="AG57" s="113" t="str">
        <f>IF(AND(ABS(Apr!K58)&gt;קריטריונים!$B$2,Apr!B58&gt;קריטריונים!$B$3),Apr!K58,"")</f>
        <v/>
      </c>
      <c r="AH57" s="113" t="str">
        <f>IF(AND(ABS(Apr!J58)&gt;קריטריונים!$B$2,Apr!B58&gt;קריטריונים!$B$3),Apr!J58,"")</f>
        <v/>
      </c>
      <c r="AI57" s="113" t="str">
        <f>IF(AND(ABS(Apr!F58)&gt;קריטריונים!$B$1,Apr!B58&gt;קריטריונים!$B$3),Apr!F58,"")</f>
        <v/>
      </c>
      <c r="AJ57" s="113" t="str">
        <f>IF(AND(ABS(Apr!E58)&gt;קריטריונים!$B$1,Apr!B58&gt;קריטריונים!$B$3),Apr!E58,"")</f>
        <v/>
      </c>
      <c r="AK57" s="113" t="str">
        <f>IF(AND(ABS(Mar!K58)&gt;קריטריונים!$B$2,Mar!B58&gt;קריטריונים!$B$3),Mar!K58,"")</f>
        <v/>
      </c>
      <c r="AL57" s="113" t="str">
        <f>IF(AND(ABS(Mar!J58)&gt;קריטריונים!$B$2,Mar!B58&gt;קריטריונים!$B$3),Mar!J58,"")</f>
        <v/>
      </c>
      <c r="AM57" s="113" t="str">
        <f>IF(AND(ABS(Mar!F58)&gt;קריטריונים!$B$1,Mar!B58&gt;קריטריונים!$B$3),Mar!F58,"")</f>
        <v/>
      </c>
      <c r="AN57" s="113" t="str">
        <f>IF(AND(ABS(Mar!E58)&gt;קריטריונים!$B$1,Mar!B58&gt;קריטריונים!$B$3),Mar!E58,"")</f>
        <v/>
      </c>
      <c r="AO57" s="113" t="str">
        <f>IF(AND(ABS(Feb!K58)&gt;קריטריונים!$B$2,Feb!B58&gt;קריטריונים!$B$3),Feb!K58,"")</f>
        <v/>
      </c>
      <c r="AP57" s="113" t="str">
        <f>IF(AND(ABS(Feb!J58)&gt;קריטריונים!$B$2,Feb!B58&gt;קריטריונים!$B$3),Feb!J58,"")</f>
        <v/>
      </c>
      <c r="AQ57" s="113" t="str">
        <f>IF(AND(ABS(Feb!F58)&gt;קריטריונים!$B$1,Feb!B58&gt;קריטריונים!$B$3),Feb!F58,"")</f>
        <v/>
      </c>
      <c r="AR57" s="113" t="str">
        <f>IF(AND(ABS(Feb!G58)&gt;קריטריונים!$B$1,Feb!C58&gt;קריטריונים!$B$3),Feb!G58,"")</f>
        <v/>
      </c>
      <c r="AS57" s="113" t="str">
        <f>IF(AND(ABS(Feb!H58)&gt;קריטריונים!$B$1,Feb!D58&gt;קריטריונים!$B$3),Feb!H58,"")</f>
        <v/>
      </c>
      <c r="AT57" s="103" t="str">
        <f>IF(AND(ABS(Jan!E58)&gt;קריטריונים!$B$1,Jan!B58&gt;קריטריונים!$B$3),Jan!E58,"")</f>
        <v/>
      </c>
      <c r="AU57" s="118" t="s">
        <v>48</v>
      </c>
    </row>
    <row r="58" spans="1:47">
      <c r="A58" s="112" t="str">
        <f>IF(AND(ABS(Dec!K59)&gt;קריטריונים!$B$2,Dec!B59&gt;קריטריונים!$B$3),Dec!K59,"")</f>
        <v/>
      </c>
      <c r="B58" s="113" t="str">
        <f>IF(AND(ABS(Dec!J59)&gt;קריטריונים!$B$2,Dec!B59&gt;קריטריונים!$B$3),Dec!J59,"")</f>
        <v/>
      </c>
      <c r="C58" s="113" t="str">
        <f>IF(AND(ABS(Dec!F59)&gt;קריטריונים!$B$1,Dec!B59&gt;קריטריונים!$B$3),Dec!F59,"")</f>
        <v/>
      </c>
      <c r="D58" s="113" t="str">
        <f>IF(AND(ABS(Dec!E59)&gt;קריטריונים!$B$1,Dec!B59&gt;קריטריונים!$B$3),Dec!E59,"")</f>
        <v/>
      </c>
      <c r="E58" s="113" t="str">
        <f>IF(AND(ABS(Nov!K59)&gt;קריטריונים!$B$2,Nov!B59&gt;קריטריונים!$B$3),Nov!K59,"")</f>
        <v/>
      </c>
      <c r="F58" s="113" t="str">
        <f>IF(AND(ABS(Nov!J59)&gt;קריטריונים!$B$2,Nov!B59&gt;קריטריונים!$B$3),Nov!J59,"")</f>
        <v/>
      </c>
      <c r="G58" s="113" t="str">
        <f>IF(AND(ABS(Nov!F59)&gt;קריטריונים!$B$1,Nov!B59&gt;קריטריונים!$B$3),Nov!F59,"")</f>
        <v/>
      </c>
      <c r="H58" s="113" t="str">
        <f>IF(AND(ABS(Nov!E59)&gt;קריטריונים!$B$1,Nov!B59&gt;קריטריונים!$B$3),Nov!E59,"")</f>
        <v/>
      </c>
      <c r="I58" s="113" t="str">
        <f>IF(AND(ABS(Oct!K59)&gt;קריטריונים!$B$2,Oct!B59&gt;קריטריונים!$B$3),Oct!K59,"")</f>
        <v/>
      </c>
      <c r="J58" s="113" t="str">
        <f>IF(AND(ABS(Oct!J59)&gt;קריטריונים!$B$2,Oct!B59&gt;קריטריונים!$B$3),Oct!J59,"")</f>
        <v/>
      </c>
      <c r="K58" s="113" t="str">
        <f>IF(AND(ABS(Oct!F59)&gt;קריטריונים!$B$1,Oct!B59&gt;קריטריונים!$B$3),Oct!F59,"")</f>
        <v/>
      </c>
      <c r="L58" s="113" t="str">
        <f>IF(AND(ABS(Oct!E59)&gt;קריטריונים!$B$1,Oct!B59&gt;קריטריונים!$B$3),Oct!E59,"")</f>
        <v/>
      </c>
      <c r="M58" s="113" t="str">
        <f>IF(AND(ABS(Sep!K59)&gt;קריטריונים!$B$2,Sep!B59&gt;קריטריונים!$B$3),Sep!K59,"")</f>
        <v/>
      </c>
      <c r="N58" s="113" t="str">
        <f>IF(AND(ABS(Sep!J59)&gt;קריטריונים!$B$2,Sep!B59&gt;קריטריונים!$B$3),Sep!J59,"")</f>
        <v/>
      </c>
      <c r="O58" s="113" t="str">
        <f>IF(AND(ABS(Sep!F59)&gt;קריטריונים!$B$1,Sep!B59&gt;קריטריונים!$B$3),Sep!F59,"")</f>
        <v/>
      </c>
      <c r="P58" s="113" t="str">
        <f>IF(AND(ABS(Sep!E59)&gt;קריטריונים!$B$1,Sep!B59&gt;קריטריונים!$B$3),Sep!E59,"")</f>
        <v/>
      </c>
      <c r="Q58" s="113" t="str">
        <f>IF(AND(ABS(Aug!K59)&gt;קריטריונים!$B$2,Aug!B59&gt;קריטריונים!$B$3),Aug!K59,"")</f>
        <v/>
      </c>
      <c r="R58" s="113" t="str">
        <f>IF(AND(ABS(Aug!J59)&gt;קריטריונים!$B$2,Aug!B59&gt;קריטריונים!$B$3),Aug!J59,"")</f>
        <v/>
      </c>
      <c r="S58" s="113" t="str">
        <f>IF(AND(ABS(Aug!F59)&gt;קריטריונים!$B$1,Aug!B59&gt;קריטריונים!$B$3),Aug!F59,"")</f>
        <v/>
      </c>
      <c r="T58" s="113" t="str">
        <f>IF(AND(ABS(Aug!E59)&gt;קריטריונים!$B$1,Aug!B59&gt;קריטריונים!$B$3),Aug!E59,"")</f>
        <v/>
      </c>
      <c r="U58" s="113" t="str">
        <f>IF(AND(ABS(Jul!K59)&gt;קריטריונים!$B$2,Jul!B59&gt;קריטריונים!$B$3),Jul!K59,"")</f>
        <v/>
      </c>
      <c r="V58" s="113" t="str">
        <f>IF(AND(ABS(Jul!J59)&gt;קריטריונים!$B$2,Jul!B59&gt;קריטריונים!$B$3),Jul!J59,"")</f>
        <v/>
      </c>
      <c r="W58" s="113" t="str">
        <f>IF(AND(ABS(Jul!F59)&gt;קריטריונים!$B$1,Jul!B59&gt;קריטריונים!$B$3),Jul!F59,"")</f>
        <v/>
      </c>
      <c r="X58" s="113" t="str">
        <f>IF(AND(ABS(Jul!E59)&gt;קריטריונים!$B$1,Jul!B59&gt;קריטריונים!$B$3),Jul!E59,"")</f>
        <v/>
      </c>
      <c r="Y58" s="113" t="str">
        <f>IF(AND(ABS(Jun!K59)&gt;קריטריונים!$B$2,Jun!B59&gt;קריטריונים!$B$3),Jun!K59,"")</f>
        <v/>
      </c>
      <c r="Z58" s="113" t="str">
        <f>IF(AND(ABS(Jun!J59)&gt;קריטריונים!$B$2,Jun!B59&gt;קריטריונים!$B$3),Jun!J59,"")</f>
        <v/>
      </c>
      <c r="AA58" s="113" t="str">
        <f>IF(AND(ABS(Jun!F59)&gt;קריטריונים!$B$1,Jun!B59&gt;קריטריונים!$B$3),Jun!F59,"")</f>
        <v/>
      </c>
      <c r="AB58" s="113" t="str">
        <f>IF(AND(ABS(Jun!E59)&gt;קריטריונים!$B$1,Jun!B59&gt;קריטריונים!$B$3),Jun!E59,"")</f>
        <v/>
      </c>
      <c r="AC58" s="113" t="str">
        <f>IF(AND(ABS(May!K59)&gt;קריטריונים!$B$2,May!B59&gt;קריטריונים!$B$3),May!K59,"")</f>
        <v/>
      </c>
      <c r="AD58" s="113" t="str">
        <f>IF(AND(ABS(May!J59)&gt;קריטריונים!$B$2,May!B59&gt;קריטריונים!$B$3),May!J59,"")</f>
        <v/>
      </c>
      <c r="AE58" s="113" t="str">
        <f>IF(AND(ABS(May!F59)&gt;קריטריונים!$B$1,May!B59&gt;קריטריונים!$B$3),May!F59,"")</f>
        <v/>
      </c>
      <c r="AF58" s="113" t="str">
        <f>IF(AND(ABS(May!E59)&gt;קריטריונים!$B$1,May!B59&gt;קריטריונים!$B$3),May!E59,"")</f>
        <v/>
      </c>
      <c r="AG58" s="113" t="str">
        <f>IF(AND(ABS(Apr!K59)&gt;קריטריונים!$B$2,Apr!B59&gt;קריטריונים!$B$3),Apr!K59,"")</f>
        <v/>
      </c>
      <c r="AH58" s="113" t="str">
        <f>IF(AND(ABS(Apr!J59)&gt;קריטריונים!$B$2,Apr!B59&gt;קריטריונים!$B$3),Apr!J59,"")</f>
        <v/>
      </c>
      <c r="AI58" s="113" t="str">
        <f>IF(AND(ABS(Apr!F59)&gt;קריטריונים!$B$1,Apr!B59&gt;קריטריונים!$B$3),Apr!F59,"")</f>
        <v/>
      </c>
      <c r="AJ58" s="113" t="str">
        <f>IF(AND(ABS(Apr!E59)&gt;קריטריונים!$B$1,Apr!B59&gt;קריטריונים!$B$3),Apr!E59,"")</f>
        <v/>
      </c>
      <c r="AK58" s="113" t="str">
        <f>IF(AND(ABS(Mar!K59)&gt;קריטריונים!$B$2,Mar!B59&gt;קריטריונים!$B$3),Mar!K59,"")</f>
        <v/>
      </c>
      <c r="AL58" s="113" t="str">
        <f>IF(AND(ABS(Mar!J59)&gt;קריטריונים!$B$2,Mar!B59&gt;קריטריונים!$B$3),Mar!J59,"")</f>
        <v/>
      </c>
      <c r="AM58" s="113" t="str">
        <f>IF(AND(ABS(Mar!F59)&gt;קריטריונים!$B$1,Mar!B59&gt;קריטריונים!$B$3),Mar!F59,"")</f>
        <v/>
      </c>
      <c r="AN58" s="113" t="str">
        <f>IF(AND(ABS(Mar!E59)&gt;קריטריונים!$B$1,Mar!B59&gt;קריטריונים!$B$3),Mar!E59,"")</f>
        <v/>
      </c>
      <c r="AO58" s="113" t="str">
        <f>IF(AND(ABS(Feb!K59)&gt;קריטריונים!$B$2,Feb!B59&gt;קריטריונים!$B$3),Feb!K59,"")</f>
        <v/>
      </c>
      <c r="AP58" s="113" t="str">
        <f>IF(AND(ABS(Feb!J59)&gt;קריטריונים!$B$2,Feb!B59&gt;קריטריונים!$B$3),Feb!J59,"")</f>
        <v/>
      </c>
      <c r="AQ58" s="113" t="str">
        <f>IF(AND(ABS(Feb!F59)&gt;קריטריונים!$B$1,Feb!B59&gt;קריטריונים!$B$3),Feb!F59,"")</f>
        <v/>
      </c>
      <c r="AR58" s="113" t="str">
        <f>IF(AND(ABS(Feb!G59)&gt;קריטריונים!$B$1,Feb!C59&gt;קריטריונים!$B$3),Feb!G59,"")</f>
        <v/>
      </c>
      <c r="AS58" s="113" t="str">
        <f>IF(AND(ABS(Feb!H59)&gt;קריטריונים!$B$1,Feb!D59&gt;קריטריונים!$B$3),Feb!H59,"")</f>
        <v/>
      </c>
      <c r="AT58" s="103" t="str">
        <f>IF(AND(ABS(Jan!E59)&gt;קריטריונים!$B$1,Jan!B59&gt;קריטריונים!$B$3),Jan!E59,"")</f>
        <v/>
      </c>
      <c r="AU58" s="118" t="s">
        <v>87</v>
      </c>
    </row>
    <row r="59" spans="1:47">
      <c r="A59" s="112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 t="str">
        <f>IF(AND(ABS(Feb!G60)&gt;קריטריונים!$B$1,Feb!C60&gt;קריטריונים!$B$3),Feb!G60,"")</f>
        <v/>
      </c>
      <c r="AS59" s="113" t="str">
        <f>IF(AND(ABS(Feb!H60)&gt;קריטריונים!$B$1,Feb!D60&gt;קריטריונים!$B$3),Feb!H60,"")</f>
        <v/>
      </c>
      <c r="AT59" s="103" t="str">
        <f>IF(AND(ABS(Jan!E60)&gt;קריטריונים!$B$1,Jan!B60&gt;קריטריונים!$B$3),Jan!E60,"")</f>
        <v/>
      </c>
      <c r="AU59" s="118" t="s">
        <v>49</v>
      </c>
    </row>
    <row r="60" spans="1:47">
      <c r="A60" s="112" t="str">
        <f>IF(AND(ABS(Dec!K61)&gt;קריטריונים!$B$2,Dec!B61&gt;קריטריונים!$B$3),Dec!K61,"")</f>
        <v/>
      </c>
      <c r="B60" s="113" t="str">
        <f>IF(AND(ABS(Dec!J61)&gt;קריטריונים!$B$2,Dec!B61&gt;קריטריונים!$B$3),Dec!J61,"")</f>
        <v/>
      </c>
      <c r="C60" s="113" t="str">
        <f>IF(AND(ABS(Dec!F61)&gt;קריטריונים!$B$1,Dec!B61&gt;קריטריונים!$B$3),Dec!F61,"")</f>
        <v/>
      </c>
      <c r="D60" s="113" t="str">
        <f>IF(AND(ABS(Dec!E61)&gt;קריטריונים!$B$1,Dec!B61&gt;קריטריונים!$B$3),Dec!E61,"")</f>
        <v/>
      </c>
      <c r="E60" s="113" t="str">
        <f>IF(AND(ABS(Nov!K61)&gt;קריטריונים!$B$2,Nov!B61&gt;קריטריונים!$B$3),Nov!K61,"")</f>
        <v/>
      </c>
      <c r="F60" s="113" t="str">
        <f>IF(AND(ABS(Nov!J61)&gt;קריטריונים!$B$2,Nov!B61&gt;קריטריונים!$B$3),Nov!J61,"")</f>
        <v/>
      </c>
      <c r="G60" s="113" t="str">
        <f>IF(AND(ABS(Nov!F61)&gt;קריטריונים!$B$1,Nov!B61&gt;קריטריונים!$B$3),Nov!F61,"")</f>
        <v/>
      </c>
      <c r="H60" s="113" t="str">
        <f>IF(AND(ABS(Nov!E61)&gt;קריטריונים!$B$1,Nov!B61&gt;קריטריונים!$B$3),Nov!E61,"")</f>
        <v/>
      </c>
      <c r="I60" s="113" t="str">
        <f>IF(AND(ABS(Oct!K61)&gt;קריטריונים!$B$2,Oct!B61&gt;קריטריונים!$B$3),Oct!K61,"")</f>
        <v/>
      </c>
      <c r="J60" s="113" t="str">
        <f>IF(AND(ABS(Oct!J61)&gt;קריטריונים!$B$2,Oct!B61&gt;קריטריונים!$B$3),Oct!J61,"")</f>
        <v/>
      </c>
      <c r="K60" s="113" t="str">
        <f>IF(AND(ABS(Oct!F61)&gt;קריטריונים!$B$1,Oct!B61&gt;קריטריונים!$B$3),Oct!F61,"")</f>
        <v/>
      </c>
      <c r="L60" s="113" t="str">
        <f>IF(AND(ABS(Oct!E61)&gt;קריטריונים!$B$1,Oct!B61&gt;קריטריונים!$B$3),Oct!E61,"")</f>
        <v/>
      </c>
      <c r="M60" s="113" t="str">
        <f>IF(AND(ABS(Sep!K61)&gt;קריטריונים!$B$2,Sep!B61&gt;קריטריונים!$B$3),Sep!K61,"")</f>
        <v/>
      </c>
      <c r="N60" s="113" t="str">
        <f>IF(AND(ABS(Sep!J61)&gt;קריטריונים!$B$2,Sep!B61&gt;קריטריונים!$B$3),Sep!J61,"")</f>
        <v/>
      </c>
      <c r="O60" s="113" t="str">
        <f>IF(AND(ABS(Sep!F61)&gt;קריטריונים!$B$1,Sep!B61&gt;קריטריונים!$B$3),Sep!F61,"")</f>
        <v/>
      </c>
      <c r="P60" s="113" t="str">
        <f>IF(AND(ABS(Sep!E61)&gt;קריטריונים!$B$1,Sep!B61&gt;קריטריונים!$B$3),Sep!E61,"")</f>
        <v/>
      </c>
      <c r="Q60" s="113" t="str">
        <f>IF(AND(ABS(Aug!K61)&gt;קריטריונים!$B$2,Aug!B61&gt;קריטריונים!$B$3),Aug!K61,"")</f>
        <v/>
      </c>
      <c r="R60" s="113" t="str">
        <f>IF(AND(ABS(Aug!J61)&gt;קריטריונים!$B$2,Aug!B61&gt;קריטריונים!$B$3),Aug!J61,"")</f>
        <v/>
      </c>
      <c r="S60" s="113" t="str">
        <f>IF(AND(ABS(Aug!F61)&gt;קריטריונים!$B$1,Aug!B61&gt;קריטריונים!$B$3),Aug!F61,"")</f>
        <v/>
      </c>
      <c r="T60" s="113" t="str">
        <f>IF(AND(ABS(Aug!E61)&gt;קריטריונים!$B$1,Aug!B61&gt;קריטריונים!$B$3),Aug!E61,"")</f>
        <v/>
      </c>
      <c r="U60" s="113" t="str">
        <f>IF(AND(ABS(Jul!K61)&gt;קריטריונים!$B$2,Jul!B61&gt;קריטריונים!$B$3),Jul!K61,"")</f>
        <v/>
      </c>
      <c r="V60" s="113" t="str">
        <f>IF(AND(ABS(Jul!J61)&gt;קריטריונים!$B$2,Jul!B61&gt;קריטריונים!$B$3),Jul!J61,"")</f>
        <v/>
      </c>
      <c r="W60" s="113" t="str">
        <f>IF(AND(ABS(Jul!F61)&gt;קריטריונים!$B$1,Jul!B61&gt;קריטריונים!$B$3),Jul!F61,"")</f>
        <v/>
      </c>
      <c r="X60" s="113" t="str">
        <f>IF(AND(ABS(Jul!E61)&gt;קריטריונים!$B$1,Jul!B61&gt;קריטריונים!$B$3),Jul!E61,"")</f>
        <v/>
      </c>
      <c r="Y60" s="113" t="str">
        <f>IF(AND(ABS(Jun!K61)&gt;קריטריונים!$B$2,Jun!B61&gt;קריטריונים!$B$3),Jun!K61,"")</f>
        <v/>
      </c>
      <c r="Z60" s="113" t="str">
        <f>IF(AND(ABS(Jun!J61)&gt;קריטריונים!$B$2,Jun!B61&gt;קריטריונים!$B$3),Jun!J61,"")</f>
        <v/>
      </c>
      <c r="AA60" s="113" t="str">
        <f>IF(AND(ABS(Jun!F61)&gt;קריטריונים!$B$1,Jun!B61&gt;קריטריונים!$B$3),Jun!F61,"")</f>
        <v/>
      </c>
      <c r="AB60" s="113" t="str">
        <f>IF(AND(ABS(Jun!E61)&gt;קריטריונים!$B$1,Jun!B61&gt;קריטריונים!$B$3),Jun!E61,"")</f>
        <v/>
      </c>
      <c r="AC60" s="113" t="str">
        <f>IF(AND(ABS(May!K61)&gt;קריטריונים!$B$2,May!B61&gt;קריטריונים!$B$3),May!K61,"")</f>
        <v/>
      </c>
      <c r="AD60" s="113" t="str">
        <f>IF(AND(ABS(May!J61)&gt;קריטריונים!$B$2,May!B61&gt;קריטריונים!$B$3),May!J61,"")</f>
        <v/>
      </c>
      <c r="AE60" s="113" t="str">
        <f>IF(AND(ABS(May!F61)&gt;קריטריונים!$B$1,May!B61&gt;קריטריונים!$B$3),May!F61,"")</f>
        <v/>
      </c>
      <c r="AF60" s="113" t="str">
        <f>IF(AND(ABS(May!E61)&gt;קריטריונים!$B$1,May!B61&gt;קריטריונים!$B$3),May!E61,"")</f>
        <v/>
      </c>
      <c r="AG60" s="113" t="str">
        <f>IF(AND(ABS(Apr!K61)&gt;קריטריונים!$B$2,Apr!B61&gt;קריטריונים!$B$3),Apr!K61,"")</f>
        <v/>
      </c>
      <c r="AH60" s="113" t="str">
        <f>IF(AND(ABS(Apr!J61)&gt;קריטריונים!$B$2,Apr!B61&gt;קריטריונים!$B$3),Apr!J61,"")</f>
        <v/>
      </c>
      <c r="AI60" s="113" t="str">
        <f>IF(AND(ABS(Apr!F61)&gt;קריטריונים!$B$1,Apr!B61&gt;קריטריונים!$B$3),Apr!F61,"")</f>
        <v/>
      </c>
      <c r="AJ60" s="113" t="str">
        <f>IF(AND(ABS(Apr!E61)&gt;קריטריונים!$B$1,Apr!B61&gt;קריטריונים!$B$3),Apr!E61,"")</f>
        <v/>
      </c>
      <c r="AK60" s="113" t="str">
        <f>IF(AND(ABS(Mar!K61)&gt;קריטריונים!$B$2,Mar!B61&gt;קריטריונים!$B$3),Mar!K61,"")</f>
        <v/>
      </c>
      <c r="AL60" s="113" t="str">
        <f>IF(AND(ABS(Mar!J61)&gt;קריטריונים!$B$2,Mar!B61&gt;קריטריונים!$B$3),Mar!J61,"")</f>
        <v/>
      </c>
      <c r="AM60" s="113" t="str">
        <f>IF(AND(ABS(Mar!F61)&gt;קריטריונים!$B$1,Mar!B61&gt;קריטריונים!$B$3),Mar!F61,"")</f>
        <v/>
      </c>
      <c r="AN60" s="113" t="str">
        <f>IF(AND(ABS(Mar!E61)&gt;קריטריונים!$B$1,Mar!B61&gt;קריטריונים!$B$3),Mar!E61,"")</f>
        <v/>
      </c>
      <c r="AO60" s="113" t="str">
        <f>IF(AND(ABS(Feb!K61)&gt;קריטריונים!$B$2,Feb!B61&gt;קריטריונים!$B$3),Feb!K61,"")</f>
        <v/>
      </c>
      <c r="AP60" s="113" t="str">
        <f>IF(AND(ABS(Feb!J61)&gt;קריטריונים!$B$2,Feb!B61&gt;קריטריונים!$B$3),Feb!J61,"")</f>
        <v/>
      </c>
      <c r="AQ60" s="113" t="str">
        <f>IF(AND(ABS(Feb!F61)&gt;קריטריונים!$B$1,Feb!B61&gt;קריטריונים!$B$3),Feb!F61,"")</f>
        <v/>
      </c>
      <c r="AR60" s="113" t="str">
        <f>IF(AND(ABS(Feb!G61)&gt;קריטריונים!$B$1,Feb!C61&gt;קריטריונים!$B$3),Feb!G61,"")</f>
        <v/>
      </c>
      <c r="AS60" s="113" t="str">
        <f>IF(AND(ABS(Feb!H61)&gt;קריטריונים!$B$1,Feb!D61&gt;קריטריונים!$B$3),Feb!H61,"")</f>
        <v/>
      </c>
      <c r="AT60" s="103" t="str">
        <f>IF(AND(ABS(Jan!E61)&gt;קריטריונים!$B$1,Jan!B61&gt;קריטריונים!$B$3),Jan!E61,"")</f>
        <v/>
      </c>
      <c r="AU60" s="119"/>
    </row>
    <row r="61" spans="1:47">
      <c r="A61" s="112" t="str">
        <f>IF(AND(ABS(Dec!K62)&gt;קריטריונים!$B$2,Dec!B62&gt;קריטריונים!$B$3),Dec!K62,"")</f>
        <v/>
      </c>
      <c r="B61" s="113" t="str">
        <f>IF(AND(ABS(Dec!J62)&gt;קריטריונים!$B$2,Dec!B62&gt;קריטריונים!$B$3),Dec!J62,"")</f>
        <v/>
      </c>
      <c r="C61" s="113" t="str">
        <f>IF(AND(ABS(Dec!F62)&gt;קריטריונים!$B$1,Dec!B62&gt;קריטריונים!$B$3),Dec!F62,"")</f>
        <v/>
      </c>
      <c r="D61" s="113" t="str">
        <f>IF(AND(ABS(Dec!E62)&gt;קריטריונים!$B$1,Dec!B62&gt;קריטריונים!$B$3),Dec!E62,"")</f>
        <v/>
      </c>
      <c r="E61" s="113" t="str">
        <f>IF(AND(ABS(Nov!K62)&gt;קריטריונים!$B$2,Nov!B62&gt;קריטריונים!$B$3),Nov!K62,"")</f>
        <v/>
      </c>
      <c r="F61" s="113" t="str">
        <f>IF(AND(ABS(Nov!J62)&gt;קריטריונים!$B$2,Nov!B62&gt;קריטריונים!$B$3),Nov!J62,"")</f>
        <v/>
      </c>
      <c r="G61" s="113" t="str">
        <f>IF(AND(ABS(Nov!F62)&gt;קריטריונים!$B$1,Nov!B62&gt;קריטריונים!$B$3),Nov!F62,"")</f>
        <v/>
      </c>
      <c r="H61" s="113" t="str">
        <f>IF(AND(ABS(Nov!E62)&gt;קריטריונים!$B$1,Nov!B62&gt;קריטריונים!$B$3),Nov!E62,"")</f>
        <v/>
      </c>
      <c r="I61" s="113" t="str">
        <f>IF(AND(ABS(Oct!K62)&gt;קריטריונים!$B$2,Oct!B62&gt;קריטריונים!$B$3),Oct!K62,"")</f>
        <v/>
      </c>
      <c r="J61" s="113" t="str">
        <f>IF(AND(ABS(Oct!J62)&gt;קריטריונים!$B$2,Oct!B62&gt;קריטריונים!$B$3),Oct!J62,"")</f>
        <v/>
      </c>
      <c r="K61" s="113" t="str">
        <f>IF(AND(ABS(Oct!F62)&gt;קריטריונים!$B$1,Oct!B62&gt;קריטריונים!$B$3),Oct!F62,"")</f>
        <v/>
      </c>
      <c r="L61" s="113" t="str">
        <f>IF(AND(ABS(Oct!E62)&gt;קריטריונים!$B$1,Oct!B62&gt;קריטריונים!$B$3),Oct!E62,"")</f>
        <v/>
      </c>
      <c r="M61" s="113" t="str">
        <f>IF(AND(ABS(Sep!K62)&gt;קריטריונים!$B$2,Sep!B62&gt;קריטריונים!$B$3),Sep!K62,"")</f>
        <v/>
      </c>
      <c r="N61" s="113" t="str">
        <f>IF(AND(ABS(Sep!J62)&gt;קריטריונים!$B$2,Sep!B62&gt;קריטריונים!$B$3),Sep!J62,"")</f>
        <v/>
      </c>
      <c r="O61" s="113" t="str">
        <f>IF(AND(ABS(Sep!F62)&gt;קריטריונים!$B$1,Sep!B62&gt;קריטריונים!$B$3),Sep!F62,"")</f>
        <v/>
      </c>
      <c r="P61" s="113" t="str">
        <f>IF(AND(ABS(Sep!E62)&gt;קריטריונים!$B$1,Sep!B62&gt;קריטריונים!$B$3),Sep!E62,"")</f>
        <v/>
      </c>
      <c r="Q61" s="113" t="str">
        <f>IF(AND(ABS(Aug!K62)&gt;קריטריונים!$B$2,Aug!B62&gt;קריטריונים!$B$3),Aug!K62,"")</f>
        <v/>
      </c>
      <c r="R61" s="113" t="str">
        <f>IF(AND(ABS(Aug!J62)&gt;קריטריונים!$B$2,Aug!B62&gt;קריטריונים!$B$3),Aug!J62,"")</f>
        <v/>
      </c>
      <c r="S61" s="113" t="str">
        <f>IF(AND(ABS(Aug!F62)&gt;קריטריונים!$B$1,Aug!B62&gt;קריטריונים!$B$3),Aug!F62,"")</f>
        <v/>
      </c>
      <c r="T61" s="113" t="str">
        <f>IF(AND(ABS(Aug!E62)&gt;קריטריונים!$B$1,Aug!B62&gt;קריטריונים!$B$3),Aug!E62,"")</f>
        <v/>
      </c>
      <c r="U61" s="113" t="str">
        <f>IF(AND(ABS(Jul!K62)&gt;קריטריונים!$B$2,Jul!B62&gt;קריטריונים!$B$3),Jul!K62,"")</f>
        <v/>
      </c>
      <c r="V61" s="113" t="str">
        <f>IF(AND(ABS(Jul!J62)&gt;קריטריונים!$B$2,Jul!B62&gt;קריטריונים!$B$3),Jul!J62,"")</f>
        <v/>
      </c>
      <c r="W61" s="113" t="str">
        <f>IF(AND(ABS(Jul!F62)&gt;קריטריונים!$B$1,Jul!B62&gt;קריטריונים!$B$3),Jul!F62,"")</f>
        <v/>
      </c>
      <c r="X61" s="113" t="str">
        <f>IF(AND(ABS(Jul!E62)&gt;קריטריונים!$B$1,Jul!B62&gt;קריטריונים!$B$3),Jul!E62,"")</f>
        <v/>
      </c>
      <c r="Y61" s="113" t="str">
        <f>IF(AND(ABS(Jun!K62)&gt;קריטריונים!$B$2,Jun!B62&gt;קריטריונים!$B$3),Jun!K62,"")</f>
        <v/>
      </c>
      <c r="Z61" s="113" t="str">
        <f>IF(AND(ABS(Jun!J62)&gt;קריטריונים!$B$2,Jun!B62&gt;קריטריונים!$B$3),Jun!J62,"")</f>
        <v/>
      </c>
      <c r="AA61" s="113" t="str">
        <f>IF(AND(ABS(Jun!F62)&gt;קריטריונים!$B$1,Jun!B62&gt;קריטריונים!$B$3),Jun!F62,"")</f>
        <v/>
      </c>
      <c r="AB61" s="113" t="str">
        <f>IF(AND(ABS(Jun!E62)&gt;קריטריונים!$B$1,Jun!B62&gt;קריטריונים!$B$3),Jun!E62,"")</f>
        <v/>
      </c>
      <c r="AC61" s="113" t="str">
        <f>IF(AND(ABS(May!K62)&gt;קריטריונים!$B$2,May!B62&gt;קריטריונים!$B$3),May!K62,"")</f>
        <v/>
      </c>
      <c r="AD61" s="113" t="str">
        <f>IF(AND(ABS(May!J62)&gt;קריטריונים!$B$2,May!B62&gt;קריטריונים!$B$3),May!J62,"")</f>
        <v/>
      </c>
      <c r="AE61" s="113" t="str">
        <f>IF(AND(ABS(May!F62)&gt;קריטריונים!$B$1,May!B62&gt;קריטריונים!$B$3),May!F62,"")</f>
        <v/>
      </c>
      <c r="AF61" s="113" t="str">
        <f>IF(AND(ABS(May!E62)&gt;קריטריונים!$B$1,May!B62&gt;קריטריונים!$B$3),May!E62,"")</f>
        <v/>
      </c>
      <c r="AG61" s="113" t="str">
        <f>IF(AND(ABS(Apr!K62)&gt;קריטריונים!$B$2,Apr!B62&gt;קריטריונים!$B$3),Apr!K62,"")</f>
        <v/>
      </c>
      <c r="AH61" s="113" t="str">
        <f>IF(AND(ABS(Apr!J62)&gt;קריטריונים!$B$2,Apr!B62&gt;קריטריונים!$B$3),Apr!J62,"")</f>
        <v/>
      </c>
      <c r="AI61" s="113" t="str">
        <f>IF(AND(ABS(Apr!F62)&gt;קריטריונים!$B$1,Apr!B62&gt;קריטריונים!$B$3),Apr!F62,"")</f>
        <v/>
      </c>
      <c r="AJ61" s="113" t="str">
        <f>IF(AND(ABS(Apr!E62)&gt;קריטריונים!$B$1,Apr!B62&gt;קריטריונים!$B$3),Apr!E62,"")</f>
        <v/>
      </c>
      <c r="AK61" s="113" t="str">
        <f>IF(AND(ABS(Mar!K62)&gt;קריטריונים!$B$2,Mar!B62&gt;קריטריונים!$B$3),Mar!K62,"")</f>
        <v/>
      </c>
      <c r="AL61" s="113" t="str">
        <f>IF(AND(ABS(Mar!J62)&gt;קריטריונים!$B$2,Mar!B62&gt;קריטריונים!$B$3),Mar!J62,"")</f>
        <v/>
      </c>
      <c r="AM61" s="113" t="str">
        <f>IF(AND(ABS(Mar!F62)&gt;קריטריונים!$B$1,Mar!B62&gt;קריטריונים!$B$3),Mar!F62,"")</f>
        <v/>
      </c>
      <c r="AN61" s="113" t="str">
        <f>IF(AND(ABS(Mar!E62)&gt;קריטריונים!$B$1,Mar!B62&gt;קריטריונים!$B$3),Mar!E62,"")</f>
        <v/>
      </c>
      <c r="AO61" s="113" t="str">
        <f>IF(AND(ABS(Feb!K62)&gt;קריטריונים!$B$2,Feb!B62&gt;קריטריונים!$B$3),Feb!K62,"")</f>
        <v/>
      </c>
      <c r="AP61" s="113" t="str">
        <f>IF(AND(ABS(Feb!J62)&gt;קריטריונים!$B$2,Feb!B62&gt;קריטריונים!$B$3),Feb!J62,"")</f>
        <v/>
      </c>
      <c r="AQ61" s="113" t="str">
        <f>IF(AND(ABS(Feb!F62)&gt;קריטריונים!$B$1,Feb!B62&gt;קריטריונים!$B$3),Feb!F62,"")</f>
        <v/>
      </c>
      <c r="AR61" s="113" t="str">
        <f>IF(AND(ABS(Feb!G62)&gt;קריטריונים!$B$1,Feb!C62&gt;קריטריונים!$B$3),Feb!G62,"")</f>
        <v/>
      </c>
      <c r="AS61" s="113" t="str">
        <f>IF(AND(ABS(Feb!H62)&gt;קריטריונים!$B$1,Feb!D62&gt;קריטריונים!$B$3),Feb!H62,"")</f>
        <v/>
      </c>
      <c r="AT61" s="103" t="str">
        <f>IF(AND(ABS(Jan!E62)&gt;קריטריונים!$B$1,Jan!B62&gt;קריטריונים!$B$3),Jan!E62,"")</f>
        <v/>
      </c>
      <c r="AU61" s="118" t="s">
        <v>50</v>
      </c>
    </row>
    <row r="62" spans="1:47">
      <c r="A62" s="112" t="str">
        <f>IF(AND(ABS(Dec!K63)&gt;קריטריונים!$B$2,Dec!B63&gt;קריטריונים!$B$3),Dec!K63,"")</f>
        <v/>
      </c>
      <c r="B62" s="113" t="str">
        <f>IF(AND(ABS(Dec!J63)&gt;קריטריונים!$B$2,Dec!B63&gt;קריטריונים!$B$3),Dec!J63,"")</f>
        <v/>
      </c>
      <c r="C62" s="113" t="str">
        <f>IF(AND(ABS(Dec!F63)&gt;קריטריונים!$B$1,Dec!B63&gt;קריטריונים!$B$3),Dec!F63,"")</f>
        <v/>
      </c>
      <c r="D62" s="113" t="str">
        <f>IF(AND(ABS(Dec!E63)&gt;קריטריונים!$B$1,Dec!B63&gt;קריטריונים!$B$3),Dec!E63,"")</f>
        <v/>
      </c>
      <c r="E62" s="113" t="str">
        <f>IF(AND(ABS(Nov!K63)&gt;קריטריונים!$B$2,Nov!B63&gt;קריטריונים!$B$3),Nov!K63,"")</f>
        <v/>
      </c>
      <c r="F62" s="113" t="str">
        <f>IF(AND(ABS(Nov!J63)&gt;קריטריונים!$B$2,Nov!B63&gt;קריטריונים!$B$3),Nov!J63,"")</f>
        <v/>
      </c>
      <c r="G62" s="113" t="str">
        <f>IF(AND(ABS(Nov!F63)&gt;קריטריונים!$B$1,Nov!B63&gt;קריטריונים!$B$3),Nov!F63,"")</f>
        <v/>
      </c>
      <c r="H62" s="113" t="str">
        <f>IF(AND(ABS(Nov!E63)&gt;קריטריונים!$B$1,Nov!B63&gt;קריטריונים!$B$3),Nov!E63,"")</f>
        <v/>
      </c>
      <c r="I62" s="113" t="str">
        <f>IF(AND(ABS(Oct!K63)&gt;קריטריונים!$B$2,Oct!B63&gt;קריטריונים!$B$3),Oct!K63,"")</f>
        <v/>
      </c>
      <c r="J62" s="113" t="str">
        <f>IF(AND(ABS(Oct!J63)&gt;קריטריונים!$B$2,Oct!B63&gt;קריטריונים!$B$3),Oct!J63,"")</f>
        <v/>
      </c>
      <c r="K62" s="113" t="str">
        <f>IF(AND(ABS(Oct!F63)&gt;קריטריונים!$B$1,Oct!B63&gt;קריטריונים!$B$3),Oct!F63,"")</f>
        <v/>
      </c>
      <c r="L62" s="113" t="str">
        <f>IF(AND(ABS(Oct!E63)&gt;קריטריונים!$B$1,Oct!B63&gt;קריטריונים!$B$3),Oct!E63,"")</f>
        <v/>
      </c>
      <c r="M62" s="113" t="str">
        <f>IF(AND(ABS(Sep!K63)&gt;קריטריונים!$B$2,Sep!B63&gt;קריטריונים!$B$3),Sep!K63,"")</f>
        <v/>
      </c>
      <c r="N62" s="113" t="str">
        <f>IF(AND(ABS(Sep!J63)&gt;קריטריונים!$B$2,Sep!B63&gt;קריטריונים!$B$3),Sep!J63,"")</f>
        <v/>
      </c>
      <c r="O62" s="113" t="str">
        <f>IF(AND(ABS(Sep!F63)&gt;קריטריונים!$B$1,Sep!B63&gt;קריטריונים!$B$3),Sep!F63,"")</f>
        <v/>
      </c>
      <c r="P62" s="113" t="str">
        <f>IF(AND(ABS(Sep!E63)&gt;קריטריונים!$B$1,Sep!B63&gt;קריטריונים!$B$3),Sep!E63,"")</f>
        <v/>
      </c>
      <c r="Q62" s="113" t="str">
        <f>IF(AND(ABS(Aug!K63)&gt;קריטריונים!$B$2,Aug!B63&gt;קריטריונים!$B$3),Aug!K63,"")</f>
        <v/>
      </c>
      <c r="R62" s="113" t="str">
        <f>IF(AND(ABS(Aug!J63)&gt;קריטריונים!$B$2,Aug!B63&gt;קריטריונים!$B$3),Aug!J63,"")</f>
        <v/>
      </c>
      <c r="S62" s="113" t="str">
        <f>IF(AND(ABS(Aug!F63)&gt;קריטריונים!$B$1,Aug!B63&gt;קריטריונים!$B$3),Aug!F63,"")</f>
        <v/>
      </c>
      <c r="T62" s="113" t="str">
        <f>IF(AND(ABS(Aug!E63)&gt;קריטריונים!$B$1,Aug!B63&gt;קריטריונים!$B$3),Aug!E63,"")</f>
        <v/>
      </c>
      <c r="U62" s="113" t="str">
        <f>IF(AND(ABS(Jul!K63)&gt;קריטריונים!$B$2,Jul!B63&gt;קריטריונים!$B$3),Jul!K63,"")</f>
        <v/>
      </c>
      <c r="V62" s="113" t="str">
        <f>IF(AND(ABS(Jul!J63)&gt;קריטריונים!$B$2,Jul!B63&gt;קריטריונים!$B$3),Jul!J63,"")</f>
        <v/>
      </c>
      <c r="W62" s="113" t="str">
        <f>IF(AND(ABS(Jul!F63)&gt;קריטריונים!$B$1,Jul!B63&gt;קריטריונים!$B$3),Jul!F63,"")</f>
        <v/>
      </c>
      <c r="X62" s="113" t="str">
        <f>IF(AND(ABS(Jul!E63)&gt;קריטריונים!$B$1,Jul!B63&gt;קריטריונים!$B$3),Jul!E63,"")</f>
        <v/>
      </c>
      <c r="Y62" s="113" t="str">
        <f>IF(AND(ABS(Jun!K63)&gt;קריטריונים!$B$2,Jun!B63&gt;קריטריונים!$B$3),Jun!K63,"")</f>
        <v/>
      </c>
      <c r="Z62" s="113" t="str">
        <f>IF(AND(ABS(Jun!J63)&gt;קריטריונים!$B$2,Jun!B63&gt;קריטריונים!$B$3),Jun!J63,"")</f>
        <v/>
      </c>
      <c r="AA62" s="113" t="str">
        <f>IF(AND(ABS(Jun!F63)&gt;קריטריונים!$B$1,Jun!B63&gt;קריטריונים!$B$3),Jun!F63,"")</f>
        <v/>
      </c>
      <c r="AB62" s="113" t="str">
        <f>IF(AND(ABS(Jun!E63)&gt;קריטריונים!$B$1,Jun!B63&gt;קריטריונים!$B$3),Jun!E63,"")</f>
        <v/>
      </c>
      <c r="AC62" s="113" t="str">
        <f>IF(AND(ABS(May!K63)&gt;קריטריונים!$B$2,May!B63&gt;קריטריונים!$B$3),May!K63,"")</f>
        <v/>
      </c>
      <c r="AD62" s="113" t="str">
        <f>IF(AND(ABS(May!J63)&gt;קריטריונים!$B$2,May!B63&gt;קריטריונים!$B$3),May!J63,"")</f>
        <v/>
      </c>
      <c r="AE62" s="113" t="str">
        <f>IF(AND(ABS(May!F63)&gt;קריטריונים!$B$1,May!B63&gt;קריטריונים!$B$3),May!F63,"")</f>
        <v/>
      </c>
      <c r="AF62" s="113" t="str">
        <f>IF(AND(ABS(May!E63)&gt;קריטריונים!$B$1,May!B63&gt;קריטריונים!$B$3),May!E63,"")</f>
        <v/>
      </c>
      <c r="AG62" s="113" t="str">
        <f>IF(AND(ABS(Apr!K63)&gt;קריטריונים!$B$2,Apr!B63&gt;קריטריונים!$B$3),Apr!K63,"")</f>
        <v/>
      </c>
      <c r="AH62" s="113" t="str">
        <f>IF(AND(ABS(Apr!J63)&gt;קריטריונים!$B$2,Apr!B63&gt;קריטריונים!$B$3),Apr!J63,"")</f>
        <v/>
      </c>
      <c r="AI62" s="113" t="str">
        <f>IF(AND(ABS(Apr!F63)&gt;קריטריונים!$B$1,Apr!B63&gt;קריטריונים!$B$3),Apr!F63,"")</f>
        <v/>
      </c>
      <c r="AJ62" s="113" t="str">
        <f>IF(AND(ABS(Apr!E63)&gt;קריטריונים!$B$1,Apr!B63&gt;קריטריונים!$B$3),Apr!E63,"")</f>
        <v/>
      </c>
      <c r="AK62" s="113" t="str">
        <f>IF(AND(ABS(Mar!K63)&gt;קריטריונים!$B$2,Mar!B63&gt;קריטריונים!$B$3),Mar!K63,"")</f>
        <v/>
      </c>
      <c r="AL62" s="113" t="str">
        <f>IF(AND(ABS(Mar!J63)&gt;קריטריונים!$B$2,Mar!B63&gt;קריטריונים!$B$3),Mar!J63,"")</f>
        <v/>
      </c>
      <c r="AM62" s="113" t="str">
        <f>IF(AND(ABS(Mar!F63)&gt;קריטריונים!$B$1,Mar!B63&gt;קריטריונים!$B$3),Mar!F63,"")</f>
        <v/>
      </c>
      <c r="AN62" s="113" t="str">
        <f>IF(AND(ABS(Mar!E63)&gt;קריטריונים!$B$1,Mar!B63&gt;קריטריונים!$B$3),Mar!E63,"")</f>
        <v/>
      </c>
      <c r="AO62" s="113" t="str">
        <f>IF(AND(ABS(Feb!K63)&gt;קריטריונים!$B$2,Feb!B63&gt;קריטריונים!$B$3),Feb!K63,"")</f>
        <v/>
      </c>
      <c r="AP62" s="113" t="str">
        <f>IF(AND(ABS(Feb!J63)&gt;קריטריונים!$B$2,Feb!B63&gt;קריטריונים!$B$3),Feb!J63,"")</f>
        <v/>
      </c>
      <c r="AQ62" s="113" t="str">
        <f>IF(AND(ABS(Feb!F63)&gt;קריטריונים!$B$1,Feb!B63&gt;קריטריונים!$B$3),Feb!F63,"")</f>
        <v/>
      </c>
      <c r="AR62" s="113" t="str">
        <f>IF(AND(ABS(Feb!G63)&gt;קריטריונים!$B$1,Feb!C63&gt;קריטריונים!$B$3),Feb!G63,"")</f>
        <v/>
      </c>
      <c r="AS62" s="113" t="str">
        <f>IF(AND(ABS(Feb!H63)&gt;קריטריונים!$B$1,Feb!D63&gt;קריטריונים!$B$3),Feb!H63,"")</f>
        <v/>
      </c>
      <c r="AT62" s="103" t="str">
        <f>IF(AND(ABS(Jan!E63)&gt;קריטריונים!$B$1,Jan!B63&gt;קריטריונים!$B$3),Jan!E63,"")</f>
        <v/>
      </c>
      <c r="AU62" s="118" t="s">
        <v>51</v>
      </c>
    </row>
    <row r="63" spans="1:47">
      <c r="A63" s="112" t="str">
        <f>IF(AND(ABS(Dec!K64)&gt;קריטריונים!$B$2,Dec!B64&gt;קריטריונים!$B$3),Dec!K64,"")</f>
        <v/>
      </c>
      <c r="B63" s="113" t="str">
        <f>IF(AND(ABS(Dec!J64)&gt;קריטריונים!$B$2,Dec!B64&gt;קריטריונים!$B$3),Dec!J64,"")</f>
        <v/>
      </c>
      <c r="C63" s="113" t="str">
        <f>IF(AND(ABS(Dec!F64)&gt;קריטריונים!$B$1,Dec!B64&gt;קריטריונים!$B$3),Dec!F64,"")</f>
        <v/>
      </c>
      <c r="D63" s="113" t="str">
        <f>IF(AND(ABS(Dec!E64)&gt;קריטריונים!$B$1,Dec!B64&gt;קריטריונים!$B$3),Dec!E64,"")</f>
        <v/>
      </c>
      <c r="E63" s="113">
        <f>IF(AND(ABS(Nov!K64)&gt;קריטריונים!$B$2,Nov!B64&gt;קריטריונים!$B$3),Nov!K64,"")</f>
        <v>0.69309901414487762</v>
      </c>
      <c r="F63" s="113">
        <f>IF(AND(ABS(Nov!J64)&gt;קריטריונים!$B$2,Nov!B64&gt;קריטריונים!$B$3),Nov!J64,"")</f>
        <v>0.37894920579507763</v>
      </c>
      <c r="G63" s="113">
        <f>IF(AND(ABS(Nov!F64)&gt;קריטריונים!$B$1,Nov!B64&gt;קריטריונים!$B$3),Nov!F64,"")</f>
        <v>0.16071428571428559</v>
      </c>
      <c r="H63" s="113">
        <f>IF(AND(ABS(Nov!E64)&gt;קריטריונים!$B$1,Nov!B64&gt;קריטריונים!$B$3),Nov!E64,"")</f>
        <v>0.10968843363209557</v>
      </c>
      <c r="I63" s="113">
        <f>IF(AND(ABS(Oct!K64)&gt;קריטריונים!$B$2,Oct!B64&gt;קריטריונים!$B$3),Oct!K64,"")</f>
        <v>0.86125211505922161</v>
      </c>
      <c r="J63" s="113">
        <f>IF(AND(ABS(Oct!J64)&gt;קריטריונים!$B$2,Oct!B64&gt;קריטריונים!$B$3),Oct!J64,"")</f>
        <v>0.44816236972024126</v>
      </c>
      <c r="K63" s="113">
        <f>IF(AND(ABS(Oct!F64)&gt;קריטריונים!$B$1,Oct!B64&gt;קריטריונים!$B$3),Oct!F64,"")</f>
        <v>0.70807453416149069</v>
      </c>
      <c r="L63" s="113">
        <f>IF(AND(ABS(Oct!E64)&gt;קריטריונים!$B$1,Oct!B64&gt;קריטריונים!$B$3),Oct!E64,"")</f>
        <v>0.79007323026851095</v>
      </c>
      <c r="M63" s="113" t="str">
        <f>IF(AND(ABS(Sep!K64)&gt;קריטריונים!$B$2,Sep!B64&gt;קריטריונים!$B$3),Sep!K64,"")</f>
        <v/>
      </c>
      <c r="N63" s="113" t="str">
        <f>IF(AND(ABS(Sep!J64)&gt;קריטריונים!$B$2,Sep!B64&gt;קריטריונים!$B$3),Sep!J64,"")</f>
        <v/>
      </c>
      <c r="O63" s="113" t="str">
        <f>IF(AND(ABS(Sep!F64)&gt;קריטריונים!$B$1,Sep!B64&gt;קריטריונים!$B$3),Sep!F64,"")</f>
        <v/>
      </c>
      <c r="P63" s="113" t="str">
        <f>IF(AND(ABS(Sep!E64)&gt;קריטריונים!$B$1,Sep!B64&gt;קריטריונים!$B$3),Sep!E64,"")</f>
        <v/>
      </c>
      <c r="Q63" s="113" t="str">
        <f>IF(AND(ABS(Aug!K64)&gt;קריטריונים!$B$2,Aug!B64&gt;קריטריונים!$B$3),Aug!K64,"")</f>
        <v/>
      </c>
      <c r="R63" s="113" t="str">
        <f>IF(AND(ABS(Aug!J64)&gt;קריטריונים!$B$2,Aug!B64&gt;קריטריונים!$B$3),Aug!J64,"")</f>
        <v/>
      </c>
      <c r="S63" s="113" t="str">
        <f>IF(AND(ABS(Aug!F64)&gt;קריטריונים!$B$1,Aug!B64&gt;קריטריונים!$B$3),Aug!F64,"")</f>
        <v/>
      </c>
      <c r="T63" s="113" t="str">
        <f>IF(AND(ABS(Aug!E64)&gt;קריטריונים!$B$1,Aug!B64&gt;קריטריונים!$B$3),Aug!E64,"")</f>
        <v/>
      </c>
      <c r="U63" s="113" t="str">
        <f>IF(AND(ABS(Jul!K64)&gt;קריטריונים!$B$2,Jul!B64&gt;קריטריונים!$B$3),Jul!K64,"")</f>
        <v/>
      </c>
      <c r="V63" s="113" t="str">
        <f>IF(AND(ABS(Jul!J64)&gt;קריטריונים!$B$2,Jul!B64&gt;קריטריונים!$B$3),Jul!J64,"")</f>
        <v/>
      </c>
      <c r="W63" s="113" t="str">
        <f>IF(AND(ABS(Jul!F64)&gt;קריטריונים!$B$1,Jul!B64&gt;קריטריונים!$B$3),Jul!F64,"")</f>
        <v/>
      </c>
      <c r="X63" s="113" t="str">
        <f>IF(AND(ABS(Jul!E64)&gt;קריטריונים!$B$1,Jul!B64&gt;קריטריונים!$B$3),Jul!E64,"")</f>
        <v/>
      </c>
      <c r="Y63" s="113" t="str">
        <f>IF(AND(ABS(Jun!K64)&gt;קריטריונים!$B$2,Jun!B64&gt;קריטריונים!$B$3),Jun!K64,"")</f>
        <v/>
      </c>
      <c r="Z63" s="113" t="str">
        <f>IF(AND(ABS(Jun!J64)&gt;קריטריונים!$B$2,Jun!B64&gt;קריטריונים!$B$3),Jun!J64,"")</f>
        <v/>
      </c>
      <c r="AA63" s="113" t="str">
        <f>IF(AND(ABS(Jun!F64)&gt;קריטריונים!$B$1,Jun!B64&gt;קריטריונים!$B$3),Jun!F64,"")</f>
        <v/>
      </c>
      <c r="AB63" s="113" t="str">
        <f>IF(AND(ABS(Jun!E64)&gt;קריטריונים!$B$1,Jun!B64&gt;קריטריונים!$B$3),Jun!E64,"")</f>
        <v/>
      </c>
      <c r="AC63" s="113" t="str">
        <f>IF(AND(ABS(May!K64)&gt;קריטריונים!$B$2,May!B64&gt;קריטריונים!$B$3),May!K64,"")</f>
        <v/>
      </c>
      <c r="AD63" s="113" t="str">
        <f>IF(AND(ABS(May!J64)&gt;קריטריונים!$B$2,May!B64&gt;קריטריונים!$B$3),May!J64,"")</f>
        <v/>
      </c>
      <c r="AE63" s="113" t="str">
        <f>IF(AND(ABS(May!F64)&gt;קריטריונים!$B$1,May!B64&gt;קריטריונים!$B$3),May!F64,"")</f>
        <v/>
      </c>
      <c r="AF63" s="113" t="str">
        <f>IF(AND(ABS(May!E64)&gt;קריטריונים!$B$1,May!B64&gt;קריטריונים!$B$3),May!E64,"")</f>
        <v/>
      </c>
      <c r="AG63" s="113" t="str">
        <f>IF(AND(ABS(Apr!K64)&gt;קריטריונים!$B$2,Apr!B64&gt;קריטריונים!$B$3),Apr!K64,"")</f>
        <v/>
      </c>
      <c r="AH63" s="113" t="str">
        <f>IF(AND(ABS(Apr!J64)&gt;קריטריונים!$B$2,Apr!B64&gt;קריטריונים!$B$3),Apr!J64,"")</f>
        <v/>
      </c>
      <c r="AI63" s="113" t="str">
        <f>IF(AND(ABS(Apr!F64)&gt;קריטריונים!$B$1,Apr!B64&gt;קריטריונים!$B$3),Apr!F64,"")</f>
        <v/>
      </c>
      <c r="AJ63" s="113" t="str">
        <f>IF(AND(ABS(Apr!E64)&gt;קריטריונים!$B$1,Apr!B64&gt;קריטריונים!$B$3),Apr!E64,"")</f>
        <v/>
      </c>
      <c r="AK63" s="113">
        <f>IF(AND(ABS(Mar!K64)&gt;קריטריונים!$B$2,Mar!B64&gt;קריטריונים!$B$3),Mar!K64,"")</f>
        <v>1.2960229602296023</v>
      </c>
      <c r="AL63" s="113">
        <f>IF(AND(ABS(Mar!J64)&gt;קריטריונים!$B$2,Mar!B64&gt;קריטריונים!$B$3),Mar!J64,"")</f>
        <v>0.19991429183629728</v>
      </c>
      <c r="AM63" s="113">
        <f>IF(AND(ABS(Mar!F64)&gt;קריטריונים!$B$1,Mar!B64&gt;קריטריונים!$B$3),Mar!F64,"")</f>
        <v>0.83397683397683386</v>
      </c>
      <c r="AN63" s="113">
        <f>IF(AND(ABS(Mar!E64)&gt;קריטריונים!$B$1,Mar!B64&gt;קריטריונים!$B$3),Mar!E64,"")</f>
        <v>0.14114114114114096</v>
      </c>
      <c r="AO63" s="113">
        <f>IF(AND(ABS(Feb!K64)&gt;קריטריונים!$B$2,Feb!B64&gt;קריטריונים!$B$3),Feb!K64,"")</f>
        <v>1.6372059871703493</v>
      </c>
      <c r="AP63" s="113">
        <f>IF(AND(ABS(Feb!J64)&gt;קריטריונים!$B$2,Feb!B64&gt;קריטריונים!$B$3),Feb!J64,"")</f>
        <v>0.23251165889407077</v>
      </c>
      <c r="AQ63" s="113">
        <f>IF(AND(ABS(Feb!F64)&gt;קריטריונים!$B$1,Feb!B64&gt;קריטריונים!$B$3),Feb!F64,"")</f>
        <v>1.4676850763807288</v>
      </c>
      <c r="AR63" s="113">
        <f>IF(AND(ABS(Feb!G64)&gt;קריטריונים!$B$1,Feb!C64&gt;קריטריונים!$B$3),Feb!G64,"")</f>
        <v>3.7</v>
      </c>
      <c r="AS63" s="113" t="str">
        <f>IF(AND(ABS(Feb!H64)&gt;קריטריונים!$B$1,Feb!D64&gt;קריטריונים!$B$3),Feb!H64,"")</f>
        <v/>
      </c>
      <c r="AT63" s="103">
        <f>IF(AND(ABS(Jan!E64)&gt;קריטריונים!$B$1,Jan!B64&gt;קריטריונים!$B$3),Jan!E64,"")</f>
        <v>0.25490196078431393</v>
      </c>
      <c r="AU63" s="118" t="s">
        <v>52</v>
      </c>
    </row>
    <row r="64" spans="1:47">
      <c r="A64" s="112" t="str">
        <f>IF(AND(ABS(Dec!K65)&gt;קריטריונים!$B$2,Dec!B65&gt;קריטריונים!$B$3),Dec!K65,"")</f>
        <v/>
      </c>
      <c r="B64" s="113" t="str">
        <f>IF(AND(ABS(Dec!J65)&gt;קריטריונים!$B$2,Dec!B65&gt;קריטריונים!$B$3),Dec!J65,"")</f>
        <v/>
      </c>
      <c r="C64" s="113" t="str">
        <f>IF(AND(ABS(Dec!F65)&gt;קריטריונים!$B$1,Dec!B65&gt;קריטריונים!$B$3),Dec!F65,"")</f>
        <v/>
      </c>
      <c r="D64" s="113" t="str">
        <f>IF(AND(ABS(Dec!E65)&gt;קריטריונים!$B$1,Dec!B65&gt;קריטריונים!$B$3),Dec!E65,"")</f>
        <v/>
      </c>
      <c r="E64" s="113">
        <f>IF(AND(ABS(Nov!K65)&gt;קריטריונים!$B$2,Nov!B65&gt;קריטריונים!$B$3),Nov!K65,"")</f>
        <v>1.2539009824696592</v>
      </c>
      <c r="F64" s="113">
        <f>IF(AND(ABS(Nov!J65)&gt;קריטריונים!$B$2,Nov!B65&gt;קריטריונים!$B$3),Nov!J65,"")</f>
        <v>0.62545151430953072</v>
      </c>
      <c r="G64" s="113">
        <f>IF(AND(ABS(Nov!F65)&gt;קריטריונים!$B$1,Nov!B65&gt;קריטריונים!$B$3),Nov!F65,"")</f>
        <v>2.1496062992125982</v>
      </c>
      <c r="H64" s="113">
        <f>IF(AND(ABS(Nov!E65)&gt;קריטריונים!$B$1,Nov!B65&gt;קריטריונים!$B$3),Nov!E65,"")</f>
        <v>0.59786950732356847</v>
      </c>
      <c r="I64" s="113" t="str">
        <f>IF(AND(ABS(Oct!K65)&gt;קריטריונים!$B$2,Oct!B65&gt;קריטריונים!$B$3),Oct!K65,"")</f>
        <v/>
      </c>
      <c r="J64" s="113" t="str">
        <f>IF(AND(ABS(Oct!J65)&gt;קריטריונים!$B$2,Oct!B65&gt;קריטריונים!$B$3),Oct!J65,"")</f>
        <v/>
      </c>
      <c r="K64" s="113" t="str">
        <f>IF(AND(ABS(Oct!F65)&gt;קריטריונים!$B$1,Oct!B65&gt;קריטריונים!$B$3),Oct!F65,"")</f>
        <v/>
      </c>
      <c r="L64" s="113" t="str">
        <f>IF(AND(ABS(Oct!E65)&gt;קריטריונים!$B$1,Oct!B65&gt;קריטריונים!$B$3),Oct!E65,"")</f>
        <v/>
      </c>
      <c r="M64" s="113" t="str">
        <f>IF(AND(ABS(Sep!K65)&gt;קריטריונים!$B$2,Sep!B65&gt;קריטריונים!$B$3),Sep!K65,"")</f>
        <v/>
      </c>
      <c r="N64" s="113" t="str">
        <f>IF(AND(ABS(Sep!J65)&gt;קריטריונים!$B$2,Sep!B65&gt;קריטריונים!$B$3),Sep!J65,"")</f>
        <v/>
      </c>
      <c r="O64" s="113" t="str">
        <f>IF(AND(ABS(Sep!F65)&gt;קריטריונים!$B$1,Sep!B65&gt;קריטריונים!$B$3),Sep!F65,"")</f>
        <v/>
      </c>
      <c r="P64" s="113" t="str">
        <f>IF(AND(ABS(Sep!E65)&gt;קריטריונים!$B$1,Sep!B65&gt;קריטריונים!$B$3),Sep!E65,"")</f>
        <v/>
      </c>
      <c r="Q64" s="113" t="str">
        <f>IF(AND(ABS(Aug!K65)&gt;קריטריונים!$B$2,Aug!B65&gt;קריטריונים!$B$3),Aug!K65,"")</f>
        <v/>
      </c>
      <c r="R64" s="113" t="str">
        <f>IF(AND(ABS(Aug!J65)&gt;קריטריונים!$B$2,Aug!B65&gt;קריטריונים!$B$3),Aug!J65,"")</f>
        <v/>
      </c>
      <c r="S64" s="113" t="str">
        <f>IF(AND(ABS(Aug!F65)&gt;קריטריונים!$B$1,Aug!B65&gt;קריטריונים!$B$3),Aug!F65,"")</f>
        <v/>
      </c>
      <c r="T64" s="113" t="str">
        <f>IF(AND(ABS(Aug!E65)&gt;קריטריונים!$B$1,Aug!B65&gt;קריטריונים!$B$3),Aug!E65,"")</f>
        <v/>
      </c>
      <c r="U64" s="113" t="str">
        <f>IF(AND(ABS(Jul!K65)&gt;קריטריונים!$B$2,Jul!B65&gt;קריטריונים!$B$3),Jul!K65,"")</f>
        <v/>
      </c>
      <c r="V64" s="113" t="str">
        <f>IF(AND(ABS(Jul!J65)&gt;קריטריונים!$B$2,Jul!B65&gt;קריטריונים!$B$3),Jul!J65,"")</f>
        <v/>
      </c>
      <c r="W64" s="113" t="str">
        <f>IF(AND(ABS(Jul!F65)&gt;קריטריונים!$B$1,Jul!B65&gt;קריטריונים!$B$3),Jul!F65,"")</f>
        <v/>
      </c>
      <c r="X64" s="113" t="str">
        <f>IF(AND(ABS(Jul!E65)&gt;קריטריונים!$B$1,Jul!B65&gt;קריטריונים!$B$3),Jul!E65,"")</f>
        <v/>
      </c>
      <c r="Y64" s="113" t="str">
        <f>IF(AND(ABS(Jun!K65)&gt;קריטריונים!$B$2,Jun!B65&gt;קריטריונים!$B$3),Jun!K65,"")</f>
        <v/>
      </c>
      <c r="Z64" s="113" t="str">
        <f>IF(AND(ABS(Jun!J65)&gt;קריטריונים!$B$2,Jun!B65&gt;קריטריונים!$B$3),Jun!J65,"")</f>
        <v/>
      </c>
      <c r="AA64" s="113" t="str">
        <f>IF(AND(ABS(Jun!F65)&gt;קריטריונים!$B$1,Jun!B65&gt;קריטריונים!$B$3),Jun!F65,"")</f>
        <v/>
      </c>
      <c r="AB64" s="113" t="str">
        <f>IF(AND(ABS(Jun!E65)&gt;קריטריונים!$B$1,Jun!B65&gt;קריטריונים!$B$3),Jun!E65,"")</f>
        <v/>
      </c>
      <c r="AC64" s="113" t="str">
        <f>IF(AND(ABS(May!K65)&gt;קריטריונים!$B$2,May!B65&gt;קריטריונים!$B$3),May!K65,"")</f>
        <v/>
      </c>
      <c r="AD64" s="113" t="str">
        <f>IF(AND(ABS(May!J65)&gt;קריטריונים!$B$2,May!B65&gt;קריטריונים!$B$3),May!J65,"")</f>
        <v/>
      </c>
      <c r="AE64" s="113" t="str">
        <f>IF(AND(ABS(May!F65)&gt;קריטריונים!$B$1,May!B65&gt;קריטריונים!$B$3),May!F65,"")</f>
        <v/>
      </c>
      <c r="AF64" s="113" t="str">
        <f>IF(AND(ABS(May!E65)&gt;קריטריונים!$B$1,May!B65&gt;קריטריונים!$B$3),May!E65,"")</f>
        <v/>
      </c>
      <c r="AG64" s="113" t="str">
        <f>IF(AND(ABS(Apr!K65)&gt;קריטריונים!$B$2,Apr!B65&gt;קריטריונים!$B$3),Apr!K65,"")</f>
        <v/>
      </c>
      <c r="AH64" s="113" t="str">
        <f>IF(AND(ABS(Apr!J65)&gt;קריטריונים!$B$2,Apr!B65&gt;קריטריונים!$B$3),Apr!J65,"")</f>
        <v/>
      </c>
      <c r="AI64" s="113" t="str">
        <f>IF(AND(ABS(Apr!F65)&gt;קריטריונים!$B$1,Apr!B65&gt;קריטריונים!$B$3),Apr!F65,"")</f>
        <v/>
      </c>
      <c r="AJ64" s="113" t="str">
        <f>IF(AND(ABS(Apr!E65)&gt;קריטריונים!$B$1,Apr!B65&gt;קריטריונים!$B$3),Apr!E65,"")</f>
        <v/>
      </c>
      <c r="AK64" s="113" t="str">
        <f>IF(AND(ABS(Mar!K65)&gt;קריטריונים!$B$2,Mar!B65&gt;קריטריונים!$B$3),Mar!K65,"")</f>
        <v/>
      </c>
      <c r="AL64" s="113" t="str">
        <f>IF(AND(ABS(Mar!J65)&gt;קריטריונים!$B$2,Mar!B65&gt;קריטריונים!$B$3),Mar!J65,"")</f>
        <v/>
      </c>
      <c r="AM64" s="113" t="str">
        <f>IF(AND(ABS(Mar!F65)&gt;קריטריונים!$B$1,Mar!B65&gt;קריטריונים!$B$3),Mar!F65,"")</f>
        <v/>
      </c>
      <c r="AN64" s="113" t="str">
        <f>IF(AND(ABS(Mar!E65)&gt;קריטריונים!$B$1,Mar!B65&gt;קריטריונים!$B$3),Mar!E65,"")</f>
        <v/>
      </c>
      <c r="AO64" s="113" t="str">
        <f>IF(AND(ABS(Feb!K65)&gt;קריטריונים!$B$2,Feb!B65&gt;קריטריונים!$B$3),Feb!K65,"")</f>
        <v/>
      </c>
      <c r="AP64" s="113" t="str">
        <f>IF(AND(ABS(Feb!J65)&gt;קריטריונים!$B$2,Feb!B65&gt;קריטריונים!$B$3),Feb!J65,"")</f>
        <v/>
      </c>
      <c r="AQ64" s="113" t="str">
        <f>IF(AND(ABS(Feb!F65)&gt;קריטריונים!$B$1,Feb!B65&gt;קריטריונים!$B$3),Feb!F65,"")</f>
        <v/>
      </c>
      <c r="AR64" s="113" t="str">
        <f>IF(AND(ABS(Feb!G65)&gt;קריטריונים!$B$1,Feb!C65&gt;קריטריונים!$B$3),Feb!G65,"")</f>
        <v/>
      </c>
      <c r="AS64" s="113" t="str">
        <f>IF(AND(ABS(Feb!H65)&gt;קריטריונים!$B$1,Feb!D65&gt;קריטריונים!$B$3),Feb!H65,"")</f>
        <v/>
      </c>
      <c r="AT64" s="103" t="str">
        <f>IF(AND(ABS(Jan!E65)&gt;קריטריונים!$B$1,Jan!B65&gt;קריטריונים!$B$3),Jan!E65,"")</f>
        <v/>
      </c>
      <c r="AU64" s="118" t="s">
        <v>53</v>
      </c>
    </row>
    <row r="65" spans="1:47">
      <c r="A65" s="112" t="str">
        <f>IF(AND(ABS(Dec!K66)&gt;קריטריונים!$B$2,Dec!B66&gt;קריטריונים!$B$3),Dec!K66,"")</f>
        <v/>
      </c>
      <c r="B65" s="113" t="str">
        <f>IF(AND(ABS(Dec!J66)&gt;קריטריונים!$B$2,Dec!B66&gt;קריטריונים!$B$3),Dec!J66,"")</f>
        <v/>
      </c>
      <c r="C65" s="113" t="str">
        <f>IF(AND(ABS(Dec!F66)&gt;קריטריונים!$B$1,Dec!B66&gt;קריטריונים!$B$3),Dec!F66,"")</f>
        <v/>
      </c>
      <c r="D65" s="113" t="str">
        <f>IF(AND(ABS(Dec!E66)&gt;קריטריונים!$B$1,Dec!B66&gt;קריטריונים!$B$3),Dec!E66,"")</f>
        <v/>
      </c>
      <c r="E65" s="113" t="str">
        <f>IF(AND(ABS(Nov!K66)&gt;קריטריונים!$B$2,Nov!B66&gt;קריטריונים!$B$3),Nov!K66,"")</f>
        <v/>
      </c>
      <c r="F65" s="113" t="str">
        <f>IF(AND(ABS(Nov!J66)&gt;קריטריונים!$B$2,Nov!B66&gt;קריטריונים!$B$3),Nov!J66,"")</f>
        <v/>
      </c>
      <c r="G65" s="113" t="str">
        <f>IF(AND(ABS(Nov!F66)&gt;קריטריונים!$B$1,Nov!B66&gt;קריטריונים!$B$3),Nov!F66,"")</f>
        <v/>
      </c>
      <c r="H65" s="113" t="str">
        <f>IF(AND(ABS(Nov!E66)&gt;קריטריונים!$B$1,Nov!B66&gt;קריטריונים!$B$3),Nov!E66,"")</f>
        <v/>
      </c>
      <c r="I65" s="113" t="str">
        <f>IF(AND(ABS(Oct!K66)&gt;קריטריונים!$B$2,Oct!B66&gt;קריטריונים!$B$3),Oct!K66,"")</f>
        <v/>
      </c>
      <c r="J65" s="113" t="str">
        <f>IF(AND(ABS(Oct!J66)&gt;קריטריונים!$B$2,Oct!B66&gt;קריטריונים!$B$3),Oct!J66,"")</f>
        <v/>
      </c>
      <c r="K65" s="113" t="str">
        <f>IF(AND(ABS(Oct!F66)&gt;קריטריונים!$B$1,Oct!B66&gt;קריטריונים!$B$3),Oct!F66,"")</f>
        <v/>
      </c>
      <c r="L65" s="113" t="str">
        <f>IF(AND(ABS(Oct!E66)&gt;קריטריונים!$B$1,Oct!B66&gt;קריטריונים!$B$3),Oct!E66,"")</f>
        <v/>
      </c>
      <c r="M65" s="113" t="str">
        <f>IF(AND(ABS(Sep!K66)&gt;קריטריונים!$B$2,Sep!B66&gt;קריטריונים!$B$3),Sep!K66,"")</f>
        <v/>
      </c>
      <c r="N65" s="113" t="str">
        <f>IF(AND(ABS(Sep!J66)&gt;קריטריונים!$B$2,Sep!B66&gt;קריטריונים!$B$3),Sep!J66,"")</f>
        <v/>
      </c>
      <c r="O65" s="113" t="str">
        <f>IF(AND(ABS(Sep!F66)&gt;קריטריונים!$B$1,Sep!B66&gt;קריטריונים!$B$3),Sep!F66,"")</f>
        <v/>
      </c>
      <c r="P65" s="113" t="str">
        <f>IF(AND(ABS(Sep!E66)&gt;קריטריונים!$B$1,Sep!B66&gt;קריטריונים!$B$3),Sep!E66,"")</f>
        <v/>
      </c>
      <c r="Q65" s="113" t="str">
        <f>IF(AND(ABS(Aug!K66)&gt;קריטריונים!$B$2,Aug!B66&gt;קריטריונים!$B$3),Aug!K66,"")</f>
        <v/>
      </c>
      <c r="R65" s="113" t="str">
        <f>IF(AND(ABS(Aug!J66)&gt;קריטריונים!$B$2,Aug!B66&gt;קריטריונים!$B$3),Aug!J66,"")</f>
        <v/>
      </c>
      <c r="S65" s="113" t="str">
        <f>IF(AND(ABS(Aug!F66)&gt;קריטריונים!$B$1,Aug!B66&gt;קריטריונים!$B$3),Aug!F66,"")</f>
        <v/>
      </c>
      <c r="T65" s="113" t="str">
        <f>IF(AND(ABS(Aug!E66)&gt;קריטריונים!$B$1,Aug!B66&gt;קריטריונים!$B$3),Aug!E66,"")</f>
        <v/>
      </c>
      <c r="U65" s="113" t="str">
        <f>IF(AND(ABS(Jul!K66)&gt;קריטריונים!$B$2,Jul!B66&gt;קריטריונים!$B$3),Jul!K66,"")</f>
        <v/>
      </c>
      <c r="V65" s="113" t="str">
        <f>IF(AND(ABS(Jul!J66)&gt;קריטריונים!$B$2,Jul!B66&gt;קריטריונים!$B$3),Jul!J66,"")</f>
        <v/>
      </c>
      <c r="W65" s="113" t="str">
        <f>IF(AND(ABS(Jul!F66)&gt;קריטריונים!$B$1,Jul!B66&gt;קריטריונים!$B$3),Jul!F66,"")</f>
        <v/>
      </c>
      <c r="X65" s="113" t="str">
        <f>IF(AND(ABS(Jul!E66)&gt;קריטריונים!$B$1,Jul!B66&gt;קריטריונים!$B$3),Jul!E66,"")</f>
        <v/>
      </c>
      <c r="Y65" s="113" t="str">
        <f>IF(AND(ABS(Jun!K66)&gt;קריטריונים!$B$2,Jun!B66&gt;קריטריונים!$B$3),Jun!K66,"")</f>
        <v/>
      </c>
      <c r="Z65" s="113" t="str">
        <f>IF(AND(ABS(Jun!J66)&gt;קריטריונים!$B$2,Jun!B66&gt;קריטריונים!$B$3),Jun!J66,"")</f>
        <v/>
      </c>
      <c r="AA65" s="113" t="str">
        <f>IF(AND(ABS(Jun!F66)&gt;קריטריונים!$B$1,Jun!B66&gt;קריטריונים!$B$3),Jun!F66,"")</f>
        <v/>
      </c>
      <c r="AB65" s="113" t="str">
        <f>IF(AND(ABS(Jun!E66)&gt;קריטריונים!$B$1,Jun!B66&gt;קריטריונים!$B$3),Jun!E66,"")</f>
        <v/>
      </c>
      <c r="AC65" s="113" t="str">
        <f>IF(AND(ABS(May!K66)&gt;קריטריונים!$B$2,May!B66&gt;קריטריונים!$B$3),May!K66,"")</f>
        <v/>
      </c>
      <c r="AD65" s="113" t="str">
        <f>IF(AND(ABS(May!J66)&gt;קריטריונים!$B$2,May!B66&gt;קריטריונים!$B$3),May!J66,"")</f>
        <v/>
      </c>
      <c r="AE65" s="113" t="str">
        <f>IF(AND(ABS(May!F66)&gt;קריטריונים!$B$1,May!B66&gt;קריטריונים!$B$3),May!F66,"")</f>
        <v/>
      </c>
      <c r="AF65" s="113" t="str">
        <f>IF(AND(ABS(May!E66)&gt;קריטריונים!$B$1,May!B66&gt;קריטריונים!$B$3),May!E66,"")</f>
        <v/>
      </c>
      <c r="AG65" s="113" t="str">
        <f>IF(AND(ABS(Apr!K66)&gt;קריטריונים!$B$2,Apr!B66&gt;קריטריונים!$B$3),Apr!K66,"")</f>
        <v/>
      </c>
      <c r="AH65" s="113" t="str">
        <f>IF(AND(ABS(Apr!J66)&gt;קריטריונים!$B$2,Apr!B66&gt;קריטריונים!$B$3),Apr!J66,"")</f>
        <v/>
      </c>
      <c r="AI65" s="113" t="str">
        <f>IF(AND(ABS(Apr!F66)&gt;קריטריונים!$B$1,Apr!B66&gt;קריטריונים!$B$3),Apr!F66,"")</f>
        <v/>
      </c>
      <c r="AJ65" s="113" t="str">
        <f>IF(AND(ABS(Apr!E66)&gt;קריטריונים!$B$1,Apr!B66&gt;קריטריונים!$B$3),Apr!E66,"")</f>
        <v/>
      </c>
      <c r="AK65" s="113" t="str">
        <f>IF(AND(ABS(Mar!K66)&gt;קריטריונים!$B$2,Mar!B66&gt;קריטריונים!$B$3),Mar!K66,"")</f>
        <v/>
      </c>
      <c r="AL65" s="113" t="str">
        <f>IF(AND(ABS(Mar!J66)&gt;קריטריונים!$B$2,Mar!B66&gt;קריטריונים!$B$3),Mar!J66,"")</f>
        <v/>
      </c>
      <c r="AM65" s="113" t="str">
        <f>IF(AND(ABS(Mar!F66)&gt;קריטריונים!$B$1,Mar!B66&gt;קריטריונים!$B$3),Mar!F66,"")</f>
        <v/>
      </c>
      <c r="AN65" s="113" t="str">
        <f>IF(AND(ABS(Mar!E66)&gt;קריטריונים!$B$1,Mar!B66&gt;קריטריונים!$B$3),Mar!E66,"")</f>
        <v/>
      </c>
      <c r="AO65" s="113" t="str">
        <f>IF(AND(ABS(Feb!K66)&gt;קריטריונים!$B$2,Feb!B66&gt;קריטריונים!$B$3),Feb!K66,"")</f>
        <v/>
      </c>
      <c r="AP65" s="113" t="str">
        <f>IF(AND(ABS(Feb!J66)&gt;קריטריונים!$B$2,Feb!B66&gt;קריטריונים!$B$3),Feb!J66,"")</f>
        <v/>
      </c>
      <c r="AQ65" s="113" t="str">
        <f>IF(AND(ABS(Feb!F66)&gt;קריטריונים!$B$1,Feb!B66&gt;קריטריונים!$B$3),Feb!F66,"")</f>
        <v/>
      </c>
      <c r="AR65" s="113" t="str">
        <f>IF(AND(ABS(Feb!G66)&gt;קריטריונים!$B$1,Feb!C66&gt;קריטריונים!$B$3),Feb!G66,"")</f>
        <v/>
      </c>
      <c r="AS65" s="113" t="str">
        <f>IF(AND(ABS(Feb!H66)&gt;קריטריונים!$B$1,Feb!D66&gt;קריטריונים!$B$3),Feb!H66,"")</f>
        <v/>
      </c>
      <c r="AT65" s="103" t="str">
        <f>IF(AND(ABS(Jan!E66)&gt;קריטריונים!$B$1,Jan!B66&gt;קריטריונים!$B$3),Jan!E66,"")</f>
        <v/>
      </c>
      <c r="AU65" s="119"/>
    </row>
    <row r="66" spans="1:47">
      <c r="A66" s="112" t="str">
        <f>IF(AND(ABS(Dec!K67)&gt;קריטריונים!$B$2,Dec!B67&gt;קריטריונים!$B$3),Dec!K67,"")</f>
        <v/>
      </c>
      <c r="B66" s="113" t="str">
        <f>IF(AND(ABS(Dec!J67)&gt;קריטריונים!$B$2,Dec!B67&gt;קריטריונים!$B$3),Dec!J67,"")</f>
        <v/>
      </c>
      <c r="C66" s="113" t="str">
        <f>IF(AND(ABS(Dec!F67)&gt;קריטריונים!$B$1,Dec!B67&gt;קריטריונים!$B$3),Dec!F67,"")</f>
        <v/>
      </c>
      <c r="D66" s="113" t="str">
        <f>IF(AND(ABS(Dec!E67)&gt;קריטריונים!$B$1,Dec!B67&gt;קריטריונים!$B$3),Dec!E67,"")</f>
        <v/>
      </c>
      <c r="E66" s="113">
        <f>IF(AND(ABS(Nov!K67)&gt;קריטריונים!$B$2,Nov!B67&gt;קריטריונים!$B$3),Nov!K67,"")</f>
        <v>0.55156067677946319</v>
      </c>
      <c r="F66" s="113">
        <f>IF(AND(ABS(Nov!J67)&gt;קריטריונים!$B$2,Nov!B67&gt;קריטריונים!$B$3),Nov!J67,"")</f>
        <v>0.79934453959192275</v>
      </c>
      <c r="G66" s="113">
        <f>IF(AND(ABS(Nov!F67)&gt;קריטריונים!$B$1,Nov!B67&gt;קריטריונים!$B$3),Nov!F67,"")</f>
        <v>3.0919637207340225</v>
      </c>
      <c r="H66" s="113">
        <f>IF(AND(ABS(Nov!E67)&gt;קריטריונים!$B$1,Nov!B67&gt;קריטריונים!$B$3),Nov!E67,"")</f>
        <v>1.9942892421670009</v>
      </c>
      <c r="I66" s="113">
        <f>IF(AND(ABS(Oct!K67)&gt;קריטריונים!$B$2,Oct!B67&gt;קריטריונים!$B$3),Oct!K67,"")</f>
        <v>0.31119404474424739</v>
      </c>
      <c r="J66" s="113">
        <f>IF(AND(ABS(Oct!J67)&gt;קריטריונים!$B$2,Oct!B67&gt;קריטריונים!$B$3),Oct!J67,"")</f>
        <v>0.60966287730301838</v>
      </c>
      <c r="K66" s="113">
        <f>IF(AND(ABS(Oct!F67)&gt;קריטריונים!$B$1,Oct!B67&gt;קריטריונים!$B$3),Oct!F67,"")</f>
        <v>0.89720593308037255</v>
      </c>
      <c r="L66" s="113">
        <f>IF(AND(ABS(Oct!E67)&gt;קריטריונים!$B$1,Oct!B67&gt;קריטריונים!$B$3),Oct!E67,"")</f>
        <v>1.4515266324938709</v>
      </c>
      <c r="M66" s="113">
        <f>IF(AND(ABS(Sep!K67)&gt;קריטריונים!$B$2,Sep!B67&gt;קריטריונים!$B$3),Sep!K67,"")</f>
        <v>0.23451217585592099</v>
      </c>
      <c r="N66" s="113">
        <f>IF(AND(ABS(Sep!J67)&gt;קריטריונים!$B$2,Sep!B67&gt;קריטריונים!$B$3),Sep!J67,"")</f>
        <v>0.50568416416636852</v>
      </c>
      <c r="O66" s="113">
        <f>IF(AND(ABS(Sep!F67)&gt;קריטריונים!$B$1,Sep!B67&gt;קריטריונים!$B$3),Sep!F67,"")</f>
        <v>0.70830664104206709</v>
      </c>
      <c r="P66" s="113">
        <f>IF(AND(ABS(Sep!E67)&gt;קריטריונים!$B$1,Sep!B67&gt;קריטריונים!$B$3),Sep!E67,"")</f>
        <v>0.70321481796891638</v>
      </c>
      <c r="Q66" s="113">
        <f>IF(AND(ABS(Aug!K67)&gt;קריטריונים!$B$2,Aug!B67&gt;קריטריונים!$B$3),Aug!K67,"")</f>
        <v>0.1785191540907487</v>
      </c>
      <c r="R66" s="113">
        <f>IF(AND(ABS(Aug!J67)&gt;קריטריונים!$B$2,Aug!B67&gt;קריטריונים!$B$3),Aug!J67,"")</f>
        <v>0.47635306019221058</v>
      </c>
      <c r="S66" s="113">
        <f>IF(AND(ABS(Aug!F67)&gt;קריטריונים!$B$1,Aug!B67&gt;קריטריונים!$B$3),Aug!F67,"")</f>
        <v>0.46259924780610118</v>
      </c>
      <c r="T66" s="113">
        <f>IF(AND(ABS(Aug!E67)&gt;קריטריונים!$B$1,Aug!B67&gt;קריטריונים!$B$3),Aug!E67,"")</f>
        <v>0.60403299725022919</v>
      </c>
      <c r="U66" s="113">
        <f>IF(AND(ABS(Jul!K67)&gt;קריטריונים!$B$2,Jul!B67&gt;קריטריונים!$B$3),Jul!K67,"")</f>
        <v>9.0193307424418556E-2</v>
      </c>
      <c r="V66" s="113">
        <f>IF(AND(ABS(Jul!J67)&gt;קריטריונים!$B$2,Jul!B67&gt;קריטריונים!$B$3),Jul!J67,"")</f>
        <v>0.46689303904923607</v>
      </c>
      <c r="W66" s="113">
        <f>IF(AND(ABS(Jul!F67)&gt;קריטריונים!$B$1,Jul!B67&gt;קריטריונים!$B$3),Jul!F67,"")</f>
        <v>0.67954316425932149</v>
      </c>
      <c r="X66" s="113">
        <f>IF(AND(ABS(Jul!E67)&gt;קריטריונים!$B$1,Jul!B67&gt;קריטריונים!$B$3),Jul!E67,"")</f>
        <v>1.254283137962128</v>
      </c>
      <c r="Y66" s="113">
        <f>IF(AND(ABS(Jun!K67)&gt;קריטריונים!$B$2,Jun!B67&gt;קריטריונים!$B$3),Jun!K67,"")</f>
        <v>-4.6263700596709256E-2</v>
      </c>
      <c r="Z66" s="113">
        <f>IF(AND(ABS(Jun!J67)&gt;קריטריונים!$B$2,Jun!B67&gt;קריטריונים!$B$3),Jun!J67,"")</f>
        <v>0.40276145710928324</v>
      </c>
      <c r="AA66" s="113">
        <f>IF(AND(ABS(Jun!F67)&gt;קריטריונים!$B$1,Jun!B67&gt;קריטריונים!$B$3),Jun!F67,"")</f>
        <v>0.41562853907134767</v>
      </c>
      <c r="AB66" s="113">
        <f>IF(AND(ABS(Jun!E67)&gt;קריטריונים!$B$1,Jun!B67&gt;קריטריונים!$B$3),Jun!E67,"")</f>
        <v>0.73852573018080681</v>
      </c>
      <c r="AC66" s="113">
        <f>IF(AND(ABS(May!K67)&gt;קריטריונים!$B$2,May!B67&gt;קריטריונים!$B$3),May!K67,"")</f>
        <v>8.0588465043614388E-2</v>
      </c>
      <c r="AD66" s="113">
        <f>IF(AND(ABS(May!J67)&gt;קריטריונים!$B$2,May!B67&gt;קריטריונים!$B$3),May!J67,"")</f>
        <v>0.36311381179175584</v>
      </c>
      <c r="AE66" s="113">
        <f>IF(AND(ABS(May!F67)&gt;קריטריונים!$B$1,May!B67&gt;קריטריונים!$B$3),May!F67,"")</f>
        <v>0.1134307585247043</v>
      </c>
      <c r="AF66" s="113">
        <f>IF(AND(ABS(May!E67)&gt;קריטריונים!$B$1,May!B67&gt;קריטריונים!$B$3),May!E67,"")</f>
        <v>0.27931769722814503</v>
      </c>
      <c r="AG66" s="113">
        <f>IF(AND(ABS(Apr!K67)&gt;קריטריונים!$B$2,Apr!B67&gt;קריטריונים!$B$3),Apr!K67,"")</f>
        <v>7.5228107371370312E-2</v>
      </c>
      <c r="AH66" s="113">
        <f>IF(AND(ABS(Apr!J67)&gt;קריטריונים!$B$2,Apr!B67&gt;קריטריונים!$B$3),Apr!J67,"")</f>
        <v>0.37837313143079032</v>
      </c>
      <c r="AI66" s="113">
        <f>IF(AND(ABS(Apr!F67)&gt;קריטריונים!$B$1,Apr!B67&gt;קריטריונים!$B$3),Apr!F67,"")</f>
        <v>-0.12980420594633779</v>
      </c>
      <c r="AJ66" s="113">
        <f>IF(AND(ABS(Apr!E67)&gt;קריטריונים!$B$1,Apr!B67&gt;קריטריונים!$B$3),Apr!E67,"")</f>
        <v>0.34053248929435842</v>
      </c>
      <c r="AK66" s="113">
        <f>IF(AND(ABS(Mar!K67)&gt;קריטריונים!$B$2,Mar!B67&gt;קריטריונים!$B$3),Mar!K67,"")</f>
        <v>0.1687524119300956</v>
      </c>
      <c r="AL66" s="113">
        <f>IF(AND(ABS(Mar!J67)&gt;קריטריונים!$B$2,Mar!B67&gt;קריטריונים!$B$3),Mar!J67,"")</f>
        <v>0.39171535482176867</v>
      </c>
      <c r="AM66" s="113">
        <f>IF(AND(ABS(Mar!F67)&gt;קריטריונים!$B$1,Mar!B67&gt;קריטריונים!$B$3),Mar!F67,"")</f>
        <v>0.25810890505209372</v>
      </c>
      <c r="AN66" s="113">
        <f>IF(AND(ABS(Mar!E67)&gt;קריטריונים!$B$1,Mar!B67&gt;קריטריונים!$B$3),Mar!E67,"")</f>
        <v>0.59402241594022431</v>
      </c>
      <c r="AO66" s="113">
        <f>IF(AND(ABS(Feb!K67)&gt;קריטריונים!$B$2,Feb!B67&gt;קריטריונים!$B$3),Feb!K67,"")</f>
        <v>0.13392583512105438</v>
      </c>
      <c r="AP66" s="113">
        <f>IF(AND(ABS(Feb!J67)&gt;קריטריונים!$B$2,Feb!B67&gt;קריטריונים!$B$3),Feb!J67,"")</f>
        <v>0.31930825459083612</v>
      </c>
      <c r="AQ66" s="113">
        <f>IF(AND(ABS(Feb!F67)&gt;קריטריונים!$B$1,Feb!B67&gt;קריטריונים!$B$3),Feb!F67,"")</f>
        <v>-8.7127339958400718E-2</v>
      </c>
      <c r="AR66" s="113">
        <f>IF(AND(ABS(Feb!G67)&gt;קריטריונים!$B$1,Feb!C67&gt;קריטריונים!$B$3),Feb!G67,"")</f>
        <v>14.8</v>
      </c>
      <c r="AS66" s="113">
        <f>IF(AND(ABS(Feb!H67)&gt;קריטריונים!$B$1,Feb!D67&gt;קריטריונים!$B$3),Feb!H67,"")</f>
        <v>11.218</v>
      </c>
      <c r="AT66" s="103">
        <f>IF(AND(ABS(Jan!E67)&gt;קריטריונים!$B$1,Jan!B67&gt;קריטריונים!$B$3),Jan!E67,"")</f>
        <v>0.99768384481760286</v>
      </c>
      <c r="AU66" s="118" t="s">
        <v>54</v>
      </c>
    </row>
    <row r="67" spans="1:47">
      <c r="A67" s="112" t="str">
        <f>IF(AND(ABS(Dec!K68)&gt;קריטריונים!$B$2,Dec!B68&gt;קריטריונים!$B$3),Dec!K68,"")</f>
        <v/>
      </c>
      <c r="B67" s="113" t="str">
        <f>IF(AND(ABS(Dec!J68)&gt;קריטריונים!$B$2,Dec!B68&gt;קריטריונים!$B$3),Dec!J68,"")</f>
        <v/>
      </c>
      <c r="C67" s="113" t="str">
        <f>IF(AND(ABS(Dec!F68)&gt;קריטריונים!$B$1,Dec!B68&gt;קריטריונים!$B$3),Dec!F68,"")</f>
        <v/>
      </c>
      <c r="D67" s="113" t="str">
        <f>IF(AND(ABS(Dec!E68)&gt;קריטריונים!$B$1,Dec!B68&gt;קריטריונים!$B$3),Dec!E68,"")</f>
        <v/>
      </c>
      <c r="E67" s="113">
        <f>IF(AND(ABS(Nov!K68)&gt;קריטריונים!$B$2,Nov!B68&gt;קריטריונים!$B$3),Nov!K68,"")</f>
        <v>0.36453526697429139</v>
      </c>
      <c r="F67" s="113">
        <f>IF(AND(ABS(Nov!J68)&gt;קריטריונים!$B$2,Nov!B68&gt;קריטריונים!$B$3),Nov!J68,"")</f>
        <v>0.36399578281497114</v>
      </c>
      <c r="G67" s="113">
        <f>IF(AND(ABS(Nov!F68)&gt;קריטריונים!$B$1,Nov!B68&gt;קריטריונים!$B$3),Nov!F68,"")</f>
        <v>0.86142709410548091</v>
      </c>
      <c r="H67" s="113">
        <f>IF(AND(ABS(Nov!E68)&gt;קריטריונים!$B$1,Nov!B68&gt;קריטריונים!$B$3),Nov!E68,"")</f>
        <v>0.35440180586907455</v>
      </c>
      <c r="I67" s="113">
        <f>IF(AND(ABS(Oct!K68)&gt;קריטריונים!$B$2,Oct!B68&gt;קריטריונים!$B$3),Oct!K68,"")</f>
        <v>0.29193109700815945</v>
      </c>
      <c r="J67" s="113">
        <f>IF(AND(ABS(Oct!J68)&gt;קריטריונים!$B$2,Oct!B68&gt;קריטריונים!$B$3),Oct!J68,"")</f>
        <v>0.36603291260584747</v>
      </c>
      <c r="K67" s="113">
        <f>IF(AND(ABS(Oct!F68)&gt;קריטריונים!$B$1,Oct!B68&gt;קריטריונים!$B$3),Oct!F68,"")</f>
        <v>0.49330587023686912</v>
      </c>
      <c r="L67" s="113">
        <f>IF(AND(ABS(Oct!E68)&gt;קריטריונים!$B$1,Oct!B68&gt;קריטריונים!$B$3),Oct!E68,"")</f>
        <v>1.1386430678466075</v>
      </c>
      <c r="M67" s="113" t="str">
        <f>IF(AND(ABS(Sep!K68)&gt;קריטריונים!$B$2,Sep!B68&gt;קריטריונים!$B$3),Sep!K68,"")</f>
        <v/>
      </c>
      <c r="N67" s="113" t="str">
        <f>IF(AND(ABS(Sep!J68)&gt;קריטריונים!$B$2,Sep!B68&gt;קריטריונים!$B$3),Sep!J68,"")</f>
        <v/>
      </c>
      <c r="O67" s="113" t="str">
        <f>IF(AND(ABS(Sep!F68)&gt;קריטריונים!$B$1,Sep!B68&gt;קריטריונים!$B$3),Sep!F68,"")</f>
        <v/>
      </c>
      <c r="P67" s="113" t="str">
        <f>IF(AND(ABS(Sep!E68)&gt;קריטריונים!$B$1,Sep!B68&gt;קריטריונים!$B$3),Sep!E68,"")</f>
        <v/>
      </c>
      <c r="Q67" s="113" t="str">
        <f>IF(AND(ABS(Aug!K68)&gt;קריטריונים!$B$2,Aug!B68&gt;קריטריונים!$B$3),Aug!K68,"")</f>
        <v/>
      </c>
      <c r="R67" s="113" t="str">
        <f>IF(AND(ABS(Aug!J68)&gt;קריטריונים!$B$2,Aug!B68&gt;קריטריונים!$B$3),Aug!J68,"")</f>
        <v/>
      </c>
      <c r="S67" s="113" t="str">
        <f>IF(AND(ABS(Aug!F68)&gt;קריטריונים!$B$1,Aug!B68&gt;קריטריונים!$B$3),Aug!F68,"")</f>
        <v/>
      </c>
      <c r="T67" s="113" t="str">
        <f>IF(AND(ABS(Aug!E68)&gt;קריטריונים!$B$1,Aug!B68&gt;קריטריונים!$B$3),Aug!E68,"")</f>
        <v/>
      </c>
      <c r="U67" s="113" t="str">
        <f>IF(AND(ABS(Jul!K68)&gt;קריטריונים!$B$2,Jul!B68&gt;קריטריונים!$B$3),Jul!K68,"")</f>
        <v/>
      </c>
      <c r="V67" s="113" t="str">
        <f>IF(AND(ABS(Jul!J68)&gt;קריטריונים!$B$2,Jul!B68&gt;קריטריונים!$B$3),Jul!J68,"")</f>
        <v/>
      </c>
      <c r="W67" s="113" t="str">
        <f>IF(AND(ABS(Jul!F68)&gt;קריטריונים!$B$1,Jul!B68&gt;קריטריונים!$B$3),Jul!F68,"")</f>
        <v/>
      </c>
      <c r="X67" s="113" t="str">
        <f>IF(AND(ABS(Jul!E68)&gt;קריטריונים!$B$1,Jul!B68&gt;קריטריונים!$B$3),Jul!E68,"")</f>
        <v/>
      </c>
      <c r="Y67" s="113">
        <f>IF(AND(ABS(Jun!K68)&gt;קריטריונים!$B$2,Jun!B68&gt;קריטריונים!$B$3),Jun!K68,"")</f>
        <v>0.20888062303847477</v>
      </c>
      <c r="Z67" s="113">
        <f>IF(AND(ABS(Jun!J68)&gt;קריטריונים!$B$2,Jun!B68&gt;קריטריונים!$B$3),Jun!J68,"")</f>
        <v>0.28776622090143644</v>
      </c>
      <c r="AA67" s="113">
        <f>IF(AND(ABS(Jun!F68)&gt;קריטריונים!$B$1,Jun!B68&gt;קריטריונים!$B$3),Jun!F68,"")</f>
        <v>0.26488095238095233</v>
      </c>
      <c r="AB67" s="113">
        <f>IF(AND(ABS(Jun!E68)&gt;קריטריונים!$B$1,Jun!B68&gt;קריטריונים!$B$3),Jun!E68,"")</f>
        <v>0.37318255250403864</v>
      </c>
      <c r="AC67" s="113">
        <f>IF(AND(ABS(May!K68)&gt;קריטריונים!$B$2,May!B68&gt;קריטריונים!$B$3),May!K68,"")</f>
        <v>0.2512584495901049</v>
      </c>
      <c r="AD67" s="113">
        <f>IF(AND(ABS(May!J68)&gt;קריטריונים!$B$2,May!B68&gt;קריטריונים!$B$3),May!J68,"")</f>
        <v>0.272301842644048</v>
      </c>
      <c r="AE67" s="113">
        <f>IF(AND(ABS(May!F68)&gt;קריטריונים!$B$1,May!B68&gt;קריטריונים!$B$3),May!F68,"")</f>
        <v>0.14068441064638781</v>
      </c>
      <c r="AF67" s="113">
        <f>IF(AND(ABS(May!E68)&gt;קריטריונים!$B$1,May!B68&gt;קריטריונים!$B$3),May!E68,"")</f>
        <v>0.43198090692124125</v>
      </c>
      <c r="AG67" s="113" t="str">
        <f>IF(AND(ABS(Apr!K68)&gt;קריטריונים!$B$2,Apr!B68&gt;קריטריונים!$B$3),Apr!K68,"")</f>
        <v/>
      </c>
      <c r="AH67" s="113" t="str">
        <f>IF(AND(ABS(Apr!J68)&gt;קריטריונים!$B$2,Apr!B68&gt;קריטריונים!$B$3),Apr!J68,"")</f>
        <v/>
      </c>
      <c r="AI67" s="113" t="str">
        <f>IF(AND(ABS(Apr!F68)&gt;קריטריונים!$B$1,Apr!B68&gt;קריטריונים!$B$3),Apr!F68,"")</f>
        <v/>
      </c>
      <c r="AJ67" s="113" t="str">
        <f>IF(AND(ABS(Apr!E68)&gt;קריטריונים!$B$1,Apr!B68&gt;קריטריונים!$B$3),Apr!E68,"")</f>
        <v/>
      </c>
      <c r="AK67" s="113">
        <f>IF(AND(ABS(Mar!K68)&gt;קריטריונים!$B$2,Mar!B68&gt;קריטריונים!$B$3),Mar!K68,"")</f>
        <v>0.40562248995983929</v>
      </c>
      <c r="AL67" s="113">
        <f>IF(AND(ABS(Mar!J68)&gt;קריטריונים!$B$2,Mar!B68&gt;קריטריונים!$B$3),Mar!J68,"")</f>
        <v>0.24666073018699897</v>
      </c>
      <c r="AM67" s="113">
        <f>IF(AND(ABS(Mar!F68)&gt;קריטריונים!$B$1,Mar!B68&gt;קריטריונים!$B$3),Mar!F68,"")</f>
        <v>0.5862524785194978</v>
      </c>
      <c r="AN67" s="113">
        <f>IF(AND(ABS(Mar!E68)&gt;קריטריונים!$B$1,Mar!B68&gt;קריטריונים!$B$3),Mar!E68,"")</f>
        <v>0.28893662728249181</v>
      </c>
      <c r="AO67" s="113">
        <f>IF(AND(ABS(Feb!K68)&gt;קריטריונים!$B$2,Feb!B68&gt;קריטריונים!$B$3),Feb!K68,"")</f>
        <v>0.29502225819506278</v>
      </c>
      <c r="AP67" s="113">
        <f>IF(AND(ABS(Feb!J68)&gt;קריטריונים!$B$2,Feb!B68&gt;קריטריונים!$B$3),Feb!J68,"")</f>
        <v>0.21673003802281388</v>
      </c>
      <c r="AQ67" s="113">
        <f>IF(AND(ABS(Feb!F68)&gt;קריטריונים!$B$1,Feb!B68&gt;קריטריונים!$B$3),Feb!F68,"")</f>
        <v>0.18577075098814233</v>
      </c>
      <c r="AR67" s="113">
        <f>IF(AND(ABS(Feb!G68)&gt;קריטריונים!$B$1,Feb!C68&gt;קריטריונים!$B$3),Feb!G68,"")</f>
        <v>3.2</v>
      </c>
      <c r="AS67" s="113">
        <f>IF(AND(ABS(Feb!H68)&gt;קריטריונים!$B$1,Feb!D68&gt;קריטריונים!$B$3),Feb!H68,"")</f>
        <v>2.63</v>
      </c>
      <c r="AT67" s="103" t="str">
        <f>IF(AND(ABS(Jan!E68)&gt;קריטריונים!$B$1,Jan!B68&gt;קריטריונים!$B$3),Jan!E68,"")</f>
        <v/>
      </c>
      <c r="AU67" s="118" t="s">
        <v>55</v>
      </c>
    </row>
    <row r="68" spans="1:47">
      <c r="A68" s="112" t="str">
        <f>IF(AND(ABS(Dec!K69)&gt;קריטריונים!$B$2,Dec!B69&gt;קריטריונים!$B$3),Dec!K69,"")</f>
        <v/>
      </c>
      <c r="B68" s="113" t="str">
        <f>IF(AND(ABS(Dec!J69)&gt;קריטריונים!$B$2,Dec!B69&gt;קריטריונים!$B$3),Dec!J69,"")</f>
        <v/>
      </c>
      <c r="C68" s="113" t="str">
        <f>IF(AND(ABS(Dec!F69)&gt;קריטריונים!$B$1,Dec!B69&gt;קריטריונים!$B$3),Dec!F69,"")</f>
        <v/>
      </c>
      <c r="D68" s="113" t="str">
        <f>IF(AND(ABS(Dec!E69)&gt;קריטריונים!$B$1,Dec!B69&gt;קריטריונים!$B$3),Dec!E69,"")</f>
        <v/>
      </c>
      <c r="E68" s="113" t="str">
        <f>IF(AND(ABS(Nov!K69)&gt;קריטריונים!$B$2,Nov!B69&gt;קריטריונים!$B$3),Nov!K69,"")</f>
        <v/>
      </c>
      <c r="F68" s="113" t="str">
        <f>IF(AND(ABS(Nov!J69)&gt;קריטריונים!$B$2,Nov!B69&gt;קריטריונים!$B$3),Nov!J69,"")</f>
        <v/>
      </c>
      <c r="G68" s="113" t="str">
        <f>IF(AND(ABS(Nov!F69)&gt;קריטריונים!$B$1,Nov!B69&gt;קריטריונים!$B$3),Nov!F69,"")</f>
        <v/>
      </c>
      <c r="H68" s="113" t="str">
        <f>IF(AND(ABS(Nov!E69)&gt;קריטריונים!$B$1,Nov!B69&gt;קריטריונים!$B$3),Nov!E69,"")</f>
        <v/>
      </c>
      <c r="I68" s="113" t="str">
        <f>IF(AND(ABS(Oct!K69)&gt;קריטריונים!$B$2,Oct!B69&gt;קריטריונים!$B$3),Oct!K69,"")</f>
        <v/>
      </c>
      <c r="J68" s="113" t="str">
        <f>IF(AND(ABS(Oct!J69)&gt;קריטריונים!$B$2,Oct!B69&gt;קריטריונים!$B$3),Oct!J69,"")</f>
        <v/>
      </c>
      <c r="K68" s="113" t="str">
        <f>IF(AND(ABS(Oct!F69)&gt;קריטריונים!$B$1,Oct!B69&gt;קריטריונים!$B$3),Oct!F69,"")</f>
        <v/>
      </c>
      <c r="L68" s="113" t="str">
        <f>IF(AND(ABS(Oct!E69)&gt;קריטריונים!$B$1,Oct!B69&gt;קריטריונים!$B$3),Oct!E69,"")</f>
        <v/>
      </c>
      <c r="M68" s="113" t="str">
        <f>IF(AND(ABS(Sep!K69)&gt;קריטריונים!$B$2,Sep!B69&gt;קריטריונים!$B$3),Sep!K69,"")</f>
        <v/>
      </c>
      <c r="N68" s="113" t="str">
        <f>IF(AND(ABS(Sep!J69)&gt;קריטריונים!$B$2,Sep!B69&gt;קריטריונים!$B$3),Sep!J69,"")</f>
        <v/>
      </c>
      <c r="O68" s="113" t="str">
        <f>IF(AND(ABS(Sep!F69)&gt;קריטריונים!$B$1,Sep!B69&gt;קריטריונים!$B$3),Sep!F69,"")</f>
        <v/>
      </c>
      <c r="P68" s="113" t="str">
        <f>IF(AND(ABS(Sep!E69)&gt;קריטריונים!$B$1,Sep!B69&gt;קריטריונים!$B$3),Sep!E69,"")</f>
        <v/>
      </c>
      <c r="Q68" s="113" t="str">
        <f>IF(AND(ABS(Aug!K69)&gt;קריטריונים!$B$2,Aug!B69&gt;קריטריונים!$B$3),Aug!K69,"")</f>
        <v/>
      </c>
      <c r="R68" s="113" t="str">
        <f>IF(AND(ABS(Aug!J69)&gt;קריטריונים!$B$2,Aug!B69&gt;קריטריונים!$B$3),Aug!J69,"")</f>
        <v/>
      </c>
      <c r="S68" s="113" t="str">
        <f>IF(AND(ABS(Aug!F69)&gt;קריטריונים!$B$1,Aug!B69&gt;קריטריונים!$B$3),Aug!F69,"")</f>
        <v/>
      </c>
      <c r="T68" s="113" t="str">
        <f>IF(AND(ABS(Aug!E69)&gt;קריטריונים!$B$1,Aug!B69&gt;קריטריונים!$B$3),Aug!E69,"")</f>
        <v/>
      </c>
      <c r="U68" s="113" t="str">
        <f>IF(AND(ABS(Jul!K69)&gt;קריטריונים!$B$2,Jul!B69&gt;קריטריונים!$B$3),Jul!K69,"")</f>
        <v/>
      </c>
      <c r="V68" s="113" t="str">
        <f>IF(AND(ABS(Jul!J69)&gt;קריטריונים!$B$2,Jul!B69&gt;קריטריונים!$B$3),Jul!J69,"")</f>
        <v/>
      </c>
      <c r="W68" s="113" t="str">
        <f>IF(AND(ABS(Jul!F69)&gt;קריטריונים!$B$1,Jul!B69&gt;קריטריונים!$B$3),Jul!F69,"")</f>
        <v/>
      </c>
      <c r="X68" s="113" t="str">
        <f>IF(AND(ABS(Jul!E69)&gt;קריטריונים!$B$1,Jul!B69&gt;קריטריונים!$B$3),Jul!E69,"")</f>
        <v/>
      </c>
      <c r="Y68" s="113" t="str">
        <f>IF(AND(ABS(Jun!K69)&gt;קריטריונים!$B$2,Jun!B69&gt;קריטריונים!$B$3),Jun!K69,"")</f>
        <v/>
      </c>
      <c r="Z68" s="113" t="str">
        <f>IF(AND(ABS(Jun!J69)&gt;קריטריונים!$B$2,Jun!B69&gt;קריטריונים!$B$3),Jun!J69,"")</f>
        <v/>
      </c>
      <c r="AA68" s="113" t="str">
        <f>IF(AND(ABS(Jun!F69)&gt;קריטריונים!$B$1,Jun!B69&gt;קריטריונים!$B$3),Jun!F69,"")</f>
        <v/>
      </c>
      <c r="AB68" s="113" t="str">
        <f>IF(AND(ABS(Jun!E69)&gt;קריטריונים!$B$1,Jun!B69&gt;קריטריונים!$B$3),Jun!E69,"")</f>
        <v/>
      </c>
      <c r="AC68" s="113" t="str">
        <f>IF(AND(ABS(May!K69)&gt;קריטריונים!$B$2,May!B69&gt;קריטריונים!$B$3),May!K69,"")</f>
        <v/>
      </c>
      <c r="AD68" s="113" t="str">
        <f>IF(AND(ABS(May!J69)&gt;קריטריונים!$B$2,May!B69&gt;קריטריונים!$B$3),May!J69,"")</f>
        <v/>
      </c>
      <c r="AE68" s="113" t="str">
        <f>IF(AND(ABS(May!F69)&gt;קריטריונים!$B$1,May!B69&gt;קריטריונים!$B$3),May!F69,"")</f>
        <v/>
      </c>
      <c r="AF68" s="113" t="str">
        <f>IF(AND(ABS(May!E69)&gt;קריטריונים!$B$1,May!B69&gt;קריטריונים!$B$3),May!E69,"")</f>
        <v/>
      </c>
      <c r="AG68" s="113" t="str">
        <f>IF(AND(ABS(Apr!K69)&gt;קריטריונים!$B$2,Apr!B69&gt;קריטריונים!$B$3),Apr!K69,"")</f>
        <v/>
      </c>
      <c r="AH68" s="113" t="str">
        <f>IF(AND(ABS(Apr!J69)&gt;קריטריונים!$B$2,Apr!B69&gt;קריטריונים!$B$3),Apr!J69,"")</f>
        <v/>
      </c>
      <c r="AI68" s="113" t="str">
        <f>IF(AND(ABS(Apr!F69)&gt;קריטריונים!$B$1,Apr!B69&gt;קריטריונים!$B$3),Apr!F69,"")</f>
        <v/>
      </c>
      <c r="AJ68" s="113" t="str">
        <f>IF(AND(ABS(Apr!E69)&gt;קריטריונים!$B$1,Apr!B69&gt;קריטריונים!$B$3),Apr!E69,"")</f>
        <v/>
      </c>
      <c r="AK68" s="113" t="str">
        <f>IF(AND(ABS(Mar!K69)&gt;קריטריונים!$B$2,Mar!B69&gt;קריטריונים!$B$3),Mar!K69,"")</f>
        <v/>
      </c>
      <c r="AL68" s="113" t="str">
        <f>IF(AND(ABS(Mar!J69)&gt;קריטריונים!$B$2,Mar!B69&gt;קריטריונים!$B$3),Mar!J69,"")</f>
        <v/>
      </c>
      <c r="AM68" s="113" t="str">
        <f>IF(AND(ABS(Mar!F69)&gt;קריטריונים!$B$1,Mar!B69&gt;קריטריונים!$B$3),Mar!F69,"")</f>
        <v/>
      </c>
      <c r="AN68" s="113" t="str">
        <f>IF(AND(ABS(Mar!E69)&gt;קריטריונים!$B$1,Mar!B69&gt;קריטריונים!$B$3),Mar!E69,"")</f>
        <v/>
      </c>
      <c r="AO68" s="113" t="str">
        <f>IF(AND(ABS(Feb!K69)&gt;קריטריונים!$B$2,Feb!B69&gt;קריטריונים!$B$3),Feb!K69,"")</f>
        <v/>
      </c>
      <c r="AP68" s="113" t="str">
        <f>IF(AND(ABS(Feb!J69)&gt;קריטריונים!$B$2,Feb!B69&gt;קריטריונים!$B$3),Feb!J69,"")</f>
        <v/>
      </c>
      <c r="AQ68" s="113" t="str">
        <f>IF(AND(ABS(Feb!F69)&gt;קריטריונים!$B$1,Feb!B69&gt;קריטריונים!$B$3),Feb!F69,"")</f>
        <v/>
      </c>
      <c r="AR68" s="113" t="str">
        <f>IF(AND(ABS(Feb!G69)&gt;קריטריונים!$B$1,Feb!C69&gt;קריטריונים!$B$3),Feb!G69,"")</f>
        <v/>
      </c>
      <c r="AS68" s="113" t="str">
        <f>IF(AND(ABS(Feb!H69)&gt;קריטריונים!$B$1,Feb!D69&gt;קריטריונים!$B$3),Feb!H69,"")</f>
        <v/>
      </c>
      <c r="AT68" s="103" t="str">
        <f>IF(AND(ABS(Jan!E69)&gt;קריטריונים!$B$1,Jan!B69&gt;קריטריונים!$B$3),Jan!E69,"")</f>
        <v/>
      </c>
      <c r="AU68" s="118" t="s">
        <v>56</v>
      </c>
    </row>
    <row r="69" spans="1:47">
      <c r="A69" s="112" t="str">
        <f>IF(AND(ABS(Dec!K70)&gt;קריטריונים!$B$2,Dec!B70&gt;קריטריונים!$B$3),Dec!K70,"")</f>
        <v/>
      </c>
      <c r="B69" s="113" t="str">
        <f>IF(AND(ABS(Dec!J70)&gt;קריטריונים!$B$2,Dec!B70&gt;קריטריונים!$B$3),Dec!J70,"")</f>
        <v/>
      </c>
      <c r="C69" s="113" t="str">
        <f>IF(AND(ABS(Dec!F70)&gt;קריטריונים!$B$1,Dec!B70&gt;קריטריונים!$B$3),Dec!F70,"")</f>
        <v/>
      </c>
      <c r="D69" s="113" t="str">
        <f>IF(AND(ABS(Dec!E70)&gt;קריטריונים!$B$1,Dec!B70&gt;קריטריונים!$B$3),Dec!E70,"")</f>
        <v/>
      </c>
      <c r="E69" s="113" t="str">
        <f>IF(AND(ABS(Nov!K70)&gt;קריטריונים!$B$2,Nov!B70&gt;קריטריונים!$B$3),Nov!K70,"")</f>
        <v/>
      </c>
      <c r="F69" s="113" t="str">
        <f>IF(AND(ABS(Nov!J70)&gt;קריטריונים!$B$2,Nov!B70&gt;קריטריונים!$B$3),Nov!J70,"")</f>
        <v/>
      </c>
      <c r="G69" s="113" t="str">
        <f>IF(AND(ABS(Nov!F70)&gt;קריטריונים!$B$1,Nov!B70&gt;קריטריונים!$B$3),Nov!F70,"")</f>
        <v/>
      </c>
      <c r="H69" s="113" t="str">
        <f>IF(AND(ABS(Nov!E70)&gt;קריטריונים!$B$1,Nov!B70&gt;קריטריונים!$B$3),Nov!E70,"")</f>
        <v/>
      </c>
      <c r="I69" s="113" t="str">
        <f>IF(AND(ABS(Oct!K70)&gt;קריטריונים!$B$2,Oct!B70&gt;קריטריונים!$B$3),Oct!K70,"")</f>
        <v/>
      </c>
      <c r="J69" s="113" t="str">
        <f>IF(AND(ABS(Oct!J70)&gt;קריטריונים!$B$2,Oct!B70&gt;קריטריונים!$B$3),Oct!J70,"")</f>
        <v/>
      </c>
      <c r="K69" s="113" t="str">
        <f>IF(AND(ABS(Oct!F70)&gt;קריטריונים!$B$1,Oct!B70&gt;קריטריונים!$B$3),Oct!F70,"")</f>
        <v/>
      </c>
      <c r="L69" s="113" t="str">
        <f>IF(AND(ABS(Oct!E70)&gt;קריטריונים!$B$1,Oct!B70&gt;קריטריונים!$B$3),Oct!E70,"")</f>
        <v/>
      </c>
      <c r="M69" s="113" t="str">
        <f>IF(AND(ABS(Sep!K70)&gt;קריטריונים!$B$2,Sep!B70&gt;קריטריונים!$B$3),Sep!K70,"")</f>
        <v/>
      </c>
      <c r="N69" s="113" t="str">
        <f>IF(AND(ABS(Sep!J70)&gt;קריטריונים!$B$2,Sep!B70&gt;קריטריונים!$B$3),Sep!J70,"")</f>
        <v/>
      </c>
      <c r="O69" s="113" t="str">
        <f>IF(AND(ABS(Sep!F70)&gt;קריטריונים!$B$1,Sep!B70&gt;קריטריונים!$B$3),Sep!F70,"")</f>
        <v/>
      </c>
      <c r="P69" s="113" t="str">
        <f>IF(AND(ABS(Sep!E70)&gt;קריטריונים!$B$1,Sep!B70&gt;קריטריונים!$B$3),Sep!E70,"")</f>
        <v/>
      </c>
      <c r="Q69" s="113" t="str">
        <f>IF(AND(ABS(Aug!K70)&gt;קריטריונים!$B$2,Aug!B70&gt;קריטריונים!$B$3),Aug!K70,"")</f>
        <v/>
      </c>
      <c r="R69" s="113" t="str">
        <f>IF(AND(ABS(Aug!J70)&gt;קריטריונים!$B$2,Aug!B70&gt;קריטריונים!$B$3),Aug!J70,"")</f>
        <v/>
      </c>
      <c r="S69" s="113" t="str">
        <f>IF(AND(ABS(Aug!F70)&gt;קריטריונים!$B$1,Aug!B70&gt;קריטריונים!$B$3),Aug!F70,"")</f>
        <v/>
      </c>
      <c r="T69" s="113" t="str">
        <f>IF(AND(ABS(Aug!E70)&gt;קריטריונים!$B$1,Aug!B70&gt;קריטריונים!$B$3),Aug!E70,"")</f>
        <v/>
      </c>
      <c r="U69" s="113" t="str">
        <f>IF(AND(ABS(Jul!K70)&gt;קריטריונים!$B$2,Jul!B70&gt;קריטריונים!$B$3),Jul!K70,"")</f>
        <v/>
      </c>
      <c r="V69" s="113" t="str">
        <f>IF(AND(ABS(Jul!J70)&gt;קריטריונים!$B$2,Jul!B70&gt;קריטריונים!$B$3),Jul!J70,"")</f>
        <v/>
      </c>
      <c r="W69" s="113" t="str">
        <f>IF(AND(ABS(Jul!F70)&gt;קריטריונים!$B$1,Jul!B70&gt;קריטריונים!$B$3),Jul!F70,"")</f>
        <v/>
      </c>
      <c r="X69" s="113" t="str">
        <f>IF(AND(ABS(Jul!E70)&gt;קריטריונים!$B$1,Jul!B70&gt;קריטריונים!$B$3),Jul!E70,"")</f>
        <v/>
      </c>
      <c r="Y69" s="113" t="str">
        <f>IF(AND(ABS(Jun!K70)&gt;קריטריונים!$B$2,Jun!B70&gt;קריטריונים!$B$3),Jun!K70,"")</f>
        <v/>
      </c>
      <c r="Z69" s="113" t="str">
        <f>IF(AND(ABS(Jun!J70)&gt;קריטריונים!$B$2,Jun!B70&gt;קריטריונים!$B$3),Jun!J70,"")</f>
        <v/>
      </c>
      <c r="AA69" s="113" t="str">
        <f>IF(AND(ABS(Jun!F70)&gt;קריטריונים!$B$1,Jun!B70&gt;קריטריונים!$B$3),Jun!F70,"")</f>
        <v/>
      </c>
      <c r="AB69" s="113" t="str">
        <f>IF(AND(ABS(Jun!E70)&gt;קריטריונים!$B$1,Jun!B70&gt;קריטריונים!$B$3),Jun!E70,"")</f>
        <v/>
      </c>
      <c r="AC69" s="113" t="str">
        <f>IF(AND(ABS(May!K70)&gt;קריטריונים!$B$2,May!B70&gt;קריטריונים!$B$3),May!K70,"")</f>
        <v/>
      </c>
      <c r="AD69" s="113" t="str">
        <f>IF(AND(ABS(May!J70)&gt;קריטריונים!$B$2,May!B70&gt;קריטריונים!$B$3),May!J70,"")</f>
        <v/>
      </c>
      <c r="AE69" s="113" t="str">
        <f>IF(AND(ABS(May!F70)&gt;קריטריונים!$B$1,May!B70&gt;קריטריונים!$B$3),May!F70,"")</f>
        <v/>
      </c>
      <c r="AF69" s="113" t="str">
        <f>IF(AND(ABS(May!E70)&gt;קריטריונים!$B$1,May!B70&gt;קריטריונים!$B$3),May!E70,"")</f>
        <v/>
      </c>
      <c r="AG69" s="113" t="str">
        <f>IF(AND(ABS(Apr!K70)&gt;קריטריונים!$B$2,Apr!B70&gt;קריטריונים!$B$3),Apr!K70,"")</f>
        <v/>
      </c>
      <c r="AH69" s="113" t="str">
        <f>IF(AND(ABS(Apr!J70)&gt;קריטריונים!$B$2,Apr!B70&gt;קריטריונים!$B$3),Apr!J70,"")</f>
        <v/>
      </c>
      <c r="AI69" s="113" t="str">
        <f>IF(AND(ABS(Apr!F70)&gt;קריטריונים!$B$1,Apr!B70&gt;קריטריונים!$B$3),Apr!F70,"")</f>
        <v/>
      </c>
      <c r="AJ69" s="113" t="str">
        <f>IF(AND(ABS(Apr!E70)&gt;קריטריונים!$B$1,Apr!B70&gt;קריטריונים!$B$3),Apr!E70,"")</f>
        <v/>
      </c>
      <c r="AK69" s="113" t="str">
        <f>IF(AND(ABS(Mar!K70)&gt;קריטריונים!$B$2,Mar!B70&gt;קריטריונים!$B$3),Mar!K70,"")</f>
        <v/>
      </c>
      <c r="AL69" s="113" t="str">
        <f>IF(AND(ABS(Mar!J70)&gt;קריטריונים!$B$2,Mar!B70&gt;קריטריונים!$B$3),Mar!J70,"")</f>
        <v/>
      </c>
      <c r="AM69" s="113" t="str">
        <f>IF(AND(ABS(Mar!F70)&gt;קריטריונים!$B$1,Mar!B70&gt;קריטריונים!$B$3),Mar!F70,"")</f>
        <v/>
      </c>
      <c r="AN69" s="113" t="str">
        <f>IF(AND(ABS(Mar!E70)&gt;קריטריונים!$B$1,Mar!B70&gt;קריטריונים!$B$3),Mar!E70,"")</f>
        <v/>
      </c>
      <c r="AO69" s="113" t="str">
        <f>IF(AND(ABS(Feb!K70)&gt;קריטריונים!$B$2,Feb!B70&gt;קריטריונים!$B$3),Feb!K70,"")</f>
        <v/>
      </c>
      <c r="AP69" s="113" t="str">
        <f>IF(AND(ABS(Feb!J70)&gt;קריטריונים!$B$2,Feb!B70&gt;קריטריונים!$B$3),Feb!J70,"")</f>
        <v/>
      </c>
      <c r="AQ69" s="113" t="str">
        <f>IF(AND(ABS(Feb!F70)&gt;קריטריונים!$B$1,Feb!B70&gt;קריטריונים!$B$3),Feb!F70,"")</f>
        <v/>
      </c>
      <c r="AR69" s="113" t="str">
        <f>IF(AND(ABS(Feb!G70)&gt;קריטריונים!$B$1,Feb!C70&gt;קריטריונים!$B$3),Feb!G70,"")</f>
        <v/>
      </c>
      <c r="AS69" s="113" t="str">
        <f>IF(AND(ABS(Feb!H70)&gt;קריטריונים!$B$1,Feb!D70&gt;קריטריונים!$B$3),Feb!H70,"")</f>
        <v/>
      </c>
      <c r="AT69" s="103" t="str">
        <f>IF(AND(ABS(Jan!E70)&gt;קריטריונים!$B$1,Jan!B70&gt;קריטריונים!$B$3),Jan!E70,"")</f>
        <v/>
      </c>
      <c r="AU69" s="118" t="s">
        <v>88</v>
      </c>
    </row>
    <row r="70" spans="1:47">
      <c r="A70" s="112" t="str">
        <f>IF(AND(ABS(Dec!K71)&gt;קריטריונים!$B$2,Dec!B71&gt;קריטריונים!$B$3),Dec!K71,"")</f>
        <v/>
      </c>
      <c r="B70" s="113" t="str">
        <f>IF(AND(ABS(Dec!J71)&gt;קריטריונים!$B$2,Dec!B71&gt;קריטריונים!$B$3),Dec!J71,"")</f>
        <v/>
      </c>
      <c r="C70" s="113" t="str">
        <f>IF(AND(ABS(Dec!F71)&gt;קריטריונים!$B$1,Dec!B71&gt;קריטריונים!$B$3),Dec!F71,"")</f>
        <v/>
      </c>
      <c r="D70" s="113" t="str">
        <f>IF(AND(ABS(Dec!E71)&gt;קריטריונים!$B$1,Dec!B71&gt;קריטריונים!$B$3),Dec!E71,"")</f>
        <v/>
      </c>
      <c r="E70" s="113" t="str">
        <f>IF(AND(ABS(Nov!K71)&gt;קריטריונים!$B$2,Nov!B71&gt;קריטריונים!$B$3),Nov!K71,"")</f>
        <v/>
      </c>
      <c r="F70" s="113" t="str">
        <f>IF(AND(ABS(Nov!J71)&gt;קריטריונים!$B$2,Nov!B71&gt;קריטריונים!$B$3),Nov!J71,"")</f>
        <v/>
      </c>
      <c r="G70" s="113" t="str">
        <f>IF(AND(ABS(Nov!F71)&gt;קריטריונים!$B$1,Nov!B71&gt;קריטריונים!$B$3),Nov!F71,"")</f>
        <v/>
      </c>
      <c r="H70" s="113" t="str">
        <f>IF(AND(ABS(Nov!E71)&gt;קריטריונים!$B$1,Nov!B71&gt;קריטריונים!$B$3),Nov!E71,"")</f>
        <v/>
      </c>
      <c r="I70" s="113" t="str">
        <f>IF(AND(ABS(Oct!K71)&gt;קריטריונים!$B$2,Oct!B71&gt;קריטריונים!$B$3),Oct!K71,"")</f>
        <v/>
      </c>
      <c r="J70" s="113" t="str">
        <f>IF(AND(ABS(Oct!J71)&gt;קריטריונים!$B$2,Oct!B71&gt;קריטריונים!$B$3),Oct!J71,"")</f>
        <v/>
      </c>
      <c r="K70" s="113" t="str">
        <f>IF(AND(ABS(Oct!F71)&gt;קריטריונים!$B$1,Oct!B71&gt;קריטריונים!$B$3),Oct!F71,"")</f>
        <v/>
      </c>
      <c r="L70" s="113" t="str">
        <f>IF(AND(ABS(Oct!E71)&gt;קריטריונים!$B$1,Oct!B71&gt;קריטריונים!$B$3),Oct!E71,"")</f>
        <v/>
      </c>
      <c r="M70" s="113" t="str">
        <f>IF(AND(ABS(Sep!K71)&gt;קריטריונים!$B$2,Sep!B71&gt;קריטריונים!$B$3),Sep!K71,"")</f>
        <v/>
      </c>
      <c r="N70" s="113" t="str">
        <f>IF(AND(ABS(Sep!J71)&gt;קריטריונים!$B$2,Sep!B71&gt;קריטריונים!$B$3),Sep!J71,"")</f>
        <v/>
      </c>
      <c r="O70" s="113" t="str">
        <f>IF(AND(ABS(Sep!F71)&gt;קריטריונים!$B$1,Sep!B71&gt;קריטריונים!$B$3),Sep!F71,"")</f>
        <v/>
      </c>
      <c r="P70" s="113" t="str">
        <f>IF(AND(ABS(Sep!E71)&gt;קריטריונים!$B$1,Sep!B71&gt;קריטריונים!$B$3),Sep!E71,"")</f>
        <v/>
      </c>
      <c r="Q70" s="113" t="str">
        <f>IF(AND(ABS(Aug!K71)&gt;קריטריונים!$B$2,Aug!B71&gt;קריטריונים!$B$3),Aug!K71,"")</f>
        <v/>
      </c>
      <c r="R70" s="113" t="str">
        <f>IF(AND(ABS(Aug!J71)&gt;קריטריונים!$B$2,Aug!B71&gt;קריטריונים!$B$3),Aug!J71,"")</f>
        <v/>
      </c>
      <c r="S70" s="113" t="str">
        <f>IF(AND(ABS(Aug!F71)&gt;קריטריונים!$B$1,Aug!B71&gt;קריטריונים!$B$3),Aug!F71,"")</f>
        <v/>
      </c>
      <c r="T70" s="113" t="str">
        <f>IF(AND(ABS(Aug!E71)&gt;קריטריונים!$B$1,Aug!B71&gt;קריטריונים!$B$3),Aug!E71,"")</f>
        <v/>
      </c>
      <c r="U70" s="113" t="str">
        <f>IF(AND(ABS(Jul!K71)&gt;קריטריונים!$B$2,Jul!B71&gt;קריטריונים!$B$3),Jul!K71,"")</f>
        <v/>
      </c>
      <c r="V70" s="113" t="str">
        <f>IF(AND(ABS(Jul!J71)&gt;קריטריונים!$B$2,Jul!B71&gt;קריטריונים!$B$3),Jul!J71,"")</f>
        <v/>
      </c>
      <c r="W70" s="113" t="str">
        <f>IF(AND(ABS(Jul!F71)&gt;קריטריונים!$B$1,Jul!B71&gt;קריטריונים!$B$3),Jul!F71,"")</f>
        <v/>
      </c>
      <c r="X70" s="113" t="str">
        <f>IF(AND(ABS(Jul!E71)&gt;קריטריונים!$B$1,Jul!B71&gt;קריטריונים!$B$3),Jul!E71,"")</f>
        <v/>
      </c>
      <c r="Y70" s="113" t="str">
        <f>IF(AND(ABS(Jun!K71)&gt;קריטריונים!$B$2,Jun!B71&gt;קריטריונים!$B$3),Jun!K71,"")</f>
        <v/>
      </c>
      <c r="Z70" s="113" t="str">
        <f>IF(AND(ABS(Jun!J71)&gt;קריטריונים!$B$2,Jun!B71&gt;קריטריונים!$B$3),Jun!J71,"")</f>
        <v/>
      </c>
      <c r="AA70" s="113" t="str">
        <f>IF(AND(ABS(Jun!F71)&gt;קריטריונים!$B$1,Jun!B71&gt;קריטריונים!$B$3),Jun!F71,"")</f>
        <v/>
      </c>
      <c r="AB70" s="113" t="str">
        <f>IF(AND(ABS(Jun!E71)&gt;קריטריונים!$B$1,Jun!B71&gt;קריטריונים!$B$3),Jun!E71,"")</f>
        <v/>
      </c>
      <c r="AC70" s="113" t="str">
        <f>IF(AND(ABS(May!K71)&gt;קריטריונים!$B$2,May!B71&gt;קריטריונים!$B$3),May!K71,"")</f>
        <v/>
      </c>
      <c r="AD70" s="113" t="str">
        <f>IF(AND(ABS(May!J71)&gt;קריטריונים!$B$2,May!B71&gt;קריטריונים!$B$3),May!J71,"")</f>
        <v/>
      </c>
      <c r="AE70" s="113" t="str">
        <f>IF(AND(ABS(May!F71)&gt;קריטריונים!$B$1,May!B71&gt;קריטריונים!$B$3),May!F71,"")</f>
        <v/>
      </c>
      <c r="AF70" s="113" t="str">
        <f>IF(AND(ABS(May!E71)&gt;קריטריונים!$B$1,May!B71&gt;קריטריונים!$B$3),May!E71,"")</f>
        <v/>
      </c>
      <c r="AG70" s="113" t="str">
        <f>IF(AND(ABS(Apr!K71)&gt;קריטריונים!$B$2,Apr!B71&gt;קריטריונים!$B$3),Apr!K71,"")</f>
        <v/>
      </c>
      <c r="AH70" s="113" t="str">
        <f>IF(AND(ABS(Apr!J71)&gt;קריטריונים!$B$2,Apr!B71&gt;קריטריונים!$B$3),Apr!J71,"")</f>
        <v/>
      </c>
      <c r="AI70" s="113" t="str">
        <f>IF(AND(ABS(Apr!F71)&gt;קריטריונים!$B$1,Apr!B71&gt;קריטריונים!$B$3),Apr!F71,"")</f>
        <v/>
      </c>
      <c r="AJ70" s="113" t="str">
        <f>IF(AND(ABS(Apr!E71)&gt;קריטריונים!$B$1,Apr!B71&gt;קריטריונים!$B$3),Apr!E71,"")</f>
        <v/>
      </c>
      <c r="AK70" s="113" t="str">
        <f>IF(AND(ABS(Mar!K71)&gt;קריטריונים!$B$2,Mar!B71&gt;קריטריונים!$B$3),Mar!K71,"")</f>
        <v/>
      </c>
      <c r="AL70" s="113" t="str">
        <f>IF(AND(ABS(Mar!J71)&gt;קריטריונים!$B$2,Mar!B71&gt;קריטריונים!$B$3),Mar!J71,"")</f>
        <v/>
      </c>
      <c r="AM70" s="113" t="str">
        <f>IF(AND(ABS(Mar!F71)&gt;קריטריונים!$B$1,Mar!B71&gt;קריטריונים!$B$3),Mar!F71,"")</f>
        <v/>
      </c>
      <c r="AN70" s="113" t="str">
        <f>IF(AND(ABS(Mar!E71)&gt;קריטריונים!$B$1,Mar!B71&gt;קריטריונים!$B$3),Mar!E71,"")</f>
        <v/>
      </c>
      <c r="AO70" s="113" t="str">
        <f>IF(AND(ABS(Feb!K71)&gt;קריטריונים!$B$2,Feb!B71&gt;קריטריונים!$B$3),Feb!K71,"")</f>
        <v/>
      </c>
      <c r="AP70" s="113" t="str">
        <f>IF(AND(ABS(Feb!J71)&gt;קריטריונים!$B$2,Feb!B71&gt;קריטריונים!$B$3),Feb!J71,"")</f>
        <v/>
      </c>
      <c r="AQ70" s="113" t="str">
        <f>IF(AND(ABS(Feb!F71)&gt;קריטריונים!$B$1,Feb!B71&gt;קריטריונים!$B$3),Feb!F71,"")</f>
        <v/>
      </c>
      <c r="AR70" s="113" t="str">
        <f>IF(AND(ABS(Feb!G71)&gt;קריטריונים!$B$1,Feb!C71&gt;קריטריונים!$B$3),Feb!G71,"")</f>
        <v/>
      </c>
      <c r="AS70" s="113" t="str">
        <f>IF(AND(ABS(Feb!H71)&gt;קריטריונים!$B$1,Feb!D71&gt;קריטריונים!$B$3),Feb!H71,"")</f>
        <v/>
      </c>
      <c r="AT70" s="103" t="str">
        <f>IF(AND(ABS(Jan!E71)&gt;קריטריונים!$B$1,Jan!B71&gt;קריטריונים!$B$3),Jan!E71,"")</f>
        <v/>
      </c>
      <c r="AU70" s="118" t="s">
        <v>89</v>
      </c>
    </row>
    <row r="71" spans="1:47">
      <c r="A71" s="112" t="str">
        <f>IF(AND(ABS(Dec!K72)&gt;קריטריונים!$B$2,Dec!B72&gt;קריטריונים!$B$3),Dec!K72,"")</f>
        <v/>
      </c>
      <c r="B71" s="113" t="str">
        <f>IF(AND(ABS(Dec!J72)&gt;קריטריונים!$B$2,Dec!B72&gt;קריטריונים!$B$3),Dec!J72,"")</f>
        <v/>
      </c>
      <c r="C71" s="113" t="str">
        <f>IF(AND(ABS(Dec!F72)&gt;קריטריונים!$B$1,Dec!B72&gt;קריטריונים!$B$3),Dec!F72,"")</f>
        <v/>
      </c>
      <c r="D71" s="113" t="str">
        <f>IF(AND(ABS(Dec!E72)&gt;קריטריונים!$B$1,Dec!B72&gt;קריטריונים!$B$3),Dec!E72,"")</f>
        <v/>
      </c>
      <c r="E71" s="113">
        <f>IF(AND(ABS(Nov!K72)&gt;קריטריונים!$B$2,Nov!B72&gt;קריטריונים!$B$3),Nov!K72,"")</f>
        <v>0.79696896800577344</v>
      </c>
      <c r="F71" s="113">
        <f>IF(AND(ABS(Nov!J72)&gt;קריטריונים!$B$2,Nov!B72&gt;קריטריונים!$B$3),Nov!J72,"")</f>
        <v>0.61716314513335679</v>
      </c>
      <c r="G71" s="113">
        <f>IF(AND(ABS(Nov!F72)&gt;קריטריונים!$B$1,Nov!B72&gt;קריטריונים!$B$3),Nov!F72,"")</f>
        <v>1.8377395100654859</v>
      </c>
      <c r="H71" s="113">
        <f>IF(AND(ABS(Nov!E72)&gt;קריטריונים!$B$1,Nov!B72&gt;קריטריונים!$B$3),Nov!E72,"")</f>
        <v>0.9310117181052977</v>
      </c>
      <c r="I71" s="113">
        <f>IF(AND(ABS(Oct!K72)&gt;קריטריונים!$B$2,Oct!B72&gt;קריטריונים!$B$3),Oct!K72,"")</f>
        <v>0.68237776056826971</v>
      </c>
      <c r="J71" s="113">
        <f>IF(AND(ABS(Oct!J72)&gt;קריטריונים!$B$2,Oct!B72&gt;קריטריונים!$B$3),Oct!J72,"")</f>
        <v>0.56978047990431824</v>
      </c>
      <c r="K71" s="113">
        <f>IF(AND(ABS(Oct!F72)&gt;קריטריונים!$B$1,Oct!B72&gt;קריטריונים!$B$3),Oct!F72,"")</f>
        <v>0.74517593643586832</v>
      </c>
      <c r="L71" s="113">
        <f>IF(AND(ABS(Oct!E72)&gt;קריטריונים!$B$1,Oct!B72&gt;קריטריונים!$B$3),Oct!E72,"")</f>
        <v>1.1544929059379929</v>
      </c>
      <c r="M71" s="113">
        <f>IF(AND(ABS(Sep!K72)&gt;קריטריונים!$B$2,Sep!B72&gt;קריטריונים!$B$3),Sep!K72,"")</f>
        <v>0.66781802032961601</v>
      </c>
      <c r="N71" s="113">
        <f>IF(AND(ABS(Sep!J72)&gt;קריטריונים!$B$2,Sep!B72&gt;קריטריונים!$B$3),Sep!J72,"")</f>
        <v>0.47280966767371591</v>
      </c>
      <c r="O71" s="113">
        <f>IF(AND(ABS(Sep!F72)&gt;קריטריונים!$B$1,Sep!B72&gt;קריטריונים!$B$3),Sep!F72,"")</f>
        <v>0.69574834111575345</v>
      </c>
      <c r="P71" s="113">
        <f>IF(AND(ABS(Sep!E72)&gt;קריטריונים!$B$1,Sep!B72&gt;קריטריונים!$B$3),Sep!E72,"")</f>
        <v>0.33720930232558133</v>
      </c>
      <c r="Q71" s="113">
        <f>IF(AND(ABS(Aug!K72)&gt;קריטריונים!$B$2,Aug!B72&gt;קריטריונים!$B$3),Aug!K72,"")</f>
        <v>0.66350170907709827</v>
      </c>
      <c r="R71" s="113">
        <f>IF(AND(ABS(Aug!J72)&gt;קריטריונים!$B$2,Aug!B72&gt;קריטריונים!$B$3),Aug!J72,"")</f>
        <v>0.49671951886276644</v>
      </c>
      <c r="S71" s="113">
        <f>IF(AND(ABS(Aug!F72)&gt;קריטריונים!$B$1,Aug!B72&gt;קריטריונים!$B$3),Aug!F72,"")</f>
        <v>0.15637319316688569</v>
      </c>
      <c r="T71" s="113">
        <f>IF(AND(ABS(Aug!E72)&gt;קריטריונים!$B$1,Aug!B72&gt;קריטריונים!$B$3),Aug!E72,"")</f>
        <v>0.19467825142546857</v>
      </c>
      <c r="U71" s="113">
        <f>IF(AND(ABS(Jul!K72)&gt;קריטריונים!$B$2,Jul!B72&gt;קריטריונים!$B$3),Jul!K72,"")</f>
        <v>0.49639194834789224</v>
      </c>
      <c r="V71" s="113">
        <f>IF(AND(ABS(Jul!J72)&gt;קריטריונים!$B$2,Jul!B72&gt;קריטריונים!$B$3),Jul!J72,"")</f>
        <v>0.54020562135960271</v>
      </c>
      <c r="W71" s="113">
        <f>IF(AND(ABS(Jul!F72)&gt;קריטריונים!$B$1,Jul!B72&gt;קריטריונים!$B$3),Jul!F72,"")</f>
        <v>0.41509433962264142</v>
      </c>
      <c r="X71" s="113">
        <f>IF(AND(ABS(Jul!E72)&gt;קריטריונים!$B$1,Jul!B72&gt;קריטריונים!$B$3),Jul!E72,"")</f>
        <v>0.29589632829373635</v>
      </c>
      <c r="Y71" s="113">
        <f>IF(AND(ABS(Jun!K72)&gt;קריטריונים!$B$2,Jun!B72&gt;קריטריונים!$B$3),Jun!K72,"")</f>
        <v>0.72325462251408879</v>
      </c>
      <c r="Z71" s="113">
        <f>IF(AND(ABS(Jun!J72)&gt;קריטריונים!$B$2,Jun!B72&gt;קריטריונים!$B$3),Jun!J72,"")</f>
        <v>0.55927346285136337</v>
      </c>
      <c r="AA71" s="113">
        <f>IF(AND(ABS(Jun!F72)&gt;קריטריונים!$B$1,Jun!B72&gt;קריטריונים!$B$3),Jun!F72,"")</f>
        <v>0.95895522388059695</v>
      </c>
      <c r="AB71" s="113">
        <f>IF(AND(ABS(Jun!E72)&gt;קריטריונים!$B$1,Jun!B72&gt;קריטריונים!$B$3),Jun!E72,"")</f>
        <v>0.6548463356973997</v>
      </c>
      <c r="AC71" s="113">
        <f>IF(AND(ABS(May!K72)&gt;קריטריונים!$B$2,May!B72&gt;קריטריונים!$B$3),May!K72,"")</f>
        <v>0.75541878512175531</v>
      </c>
      <c r="AD71" s="113">
        <f>IF(AND(ABS(May!J72)&gt;קריטריונים!$B$2,May!B72&gt;קריטריונים!$B$3),May!J72,"")</f>
        <v>0.54782690764947373</v>
      </c>
      <c r="AE71" s="113">
        <f>IF(AND(ABS(May!F72)&gt;קריטריונים!$B$1,May!B72&gt;קריטריונים!$B$3),May!F72,"")</f>
        <v>1.0349533157768733</v>
      </c>
      <c r="AF71" s="113">
        <f>IF(AND(ABS(May!E72)&gt;קריטריונים!$B$1,May!B72&gt;קריטריונים!$B$3),May!E72,"")</f>
        <v>0.36942162075076523</v>
      </c>
      <c r="AG71" s="113">
        <f>IF(AND(ABS(Apr!K72)&gt;קריטריונים!$B$2,Apr!B72&gt;קריטריונים!$B$3),Apr!K72,"")</f>
        <v>0.67493796526054584</v>
      </c>
      <c r="AH71" s="113">
        <f>IF(AND(ABS(Apr!J72)&gt;קריטריונים!$B$2,Apr!B72&gt;קריטריונים!$B$3),Apr!J72,"")</f>
        <v>0.62172984516817942</v>
      </c>
      <c r="AI71" s="113">
        <f>IF(AND(ABS(Apr!F72)&gt;קריטריונים!$B$1,Apr!B72&gt;קריטריונים!$B$3),Apr!F72,"")</f>
        <v>0.5236258437801351</v>
      </c>
      <c r="AJ71" s="113">
        <f>IF(AND(ABS(Apr!E72)&gt;קריטריונים!$B$1,Apr!B72&gt;קריטריונים!$B$3),Apr!E72,"")</f>
        <v>0.76931690929451291</v>
      </c>
      <c r="AK71" s="113">
        <f>IF(AND(ABS(Mar!K72)&gt;קריטריונים!$B$2,Mar!B72&gt;קריטריונים!$B$3),Mar!K72,"")</f>
        <v>0.75909042153813155</v>
      </c>
      <c r="AL71" s="113">
        <f>IF(AND(ABS(Mar!J72)&gt;קריטריונים!$B$2,Mar!B72&gt;קריטריונים!$B$3),Mar!J72,"")</f>
        <v>0.55908356307633822</v>
      </c>
      <c r="AM71" s="113">
        <f>IF(AND(ABS(Mar!F72)&gt;קריטריונים!$B$1,Mar!B72&gt;קריטריונים!$B$3),Mar!F72,"")</f>
        <v>0.8671059857221306</v>
      </c>
      <c r="AN71" s="113">
        <f>IF(AND(ABS(Mar!E72)&gt;קריטריונים!$B$1,Mar!B72&gt;קריטריונים!$B$3),Mar!E72,"")</f>
        <v>0.59549507273580482</v>
      </c>
      <c r="AO71" s="113">
        <f>IF(AND(ABS(Feb!K72)&gt;קריטריונים!$B$2,Feb!B72&gt;קריטריונים!$B$3),Feb!K72,"")</f>
        <v>0.68984333744059168</v>
      </c>
      <c r="AP71" s="113">
        <f>IF(AND(ABS(Feb!J72)&gt;קריטריונים!$B$2,Feb!B72&gt;קריטריונים!$B$3),Feb!J72,"")</f>
        <v>0.53428160460284491</v>
      </c>
      <c r="AQ71" s="113">
        <f>IF(AND(ABS(Feb!F72)&gt;קריטריונים!$B$1,Feb!B72&gt;קריטריונים!$B$3),Feb!F72,"")</f>
        <v>1.0062942564909521</v>
      </c>
      <c r="AR71" s="113">
        <f>IF(AND(ABS(Feb!G72)&gt;קריטריונים!$B$1,Feb!C72&gt;קריטריונים!$B$3),Feb!G72,"")</f>
        <v>9.6</v>
      </c>
      <c r="AS71" s="113">
        <f>IF(AND(ABS(Feb!H72)&gt;קריטריונים!$B$1,Feb!D72&gt;קריטריונים!$B$3),Feb!H72,"")</f>
        <v>6.2569999999999997</v>
      </c>
      <c r="AT71" s="103">
        <f>IF(AND(ABS(Jan!E72)&gt;קריטריונים!$B$1,Jan!B72&gt;קריטריונים!$B$3),Jan!E72,"")</f>
        <v>0.49105367793240573</v>
      </c>
      <c r="AU71" s="118" t="s">
        <v>59</v>
      </c>
    </row>
    <row r="72" spans="1:47">
      <c r="A72" s="112" t="str">
        <f>IF(AND(ABS(Dec!K73)&gt;קריטריונים!$B$2,Dec!B73&gt;קריטריונים!$B$3),Dec!K73,"")</f>
        <v/>
      </c>
      <c r="B72" s="113" t="str">
        <f>IF(AND(ABS(Dec!J73)&gt;קריטריונים!$B$2,Dec!B73&gt;קריטריונים!$B$3),Dec!J73,"")</f>
        <v/>
      </c>
      <c r="C72" s="113" t="str">
        <f>IF(AND(ABS(Dec!F73)&gt;קריטריונים!$B$1,Dec!B73&gt;קריטריונים!$B$3),Dec!F73,"")</f>
        <v/>
      </c>
      <c r="D72" s="113" t="str">
        <f>IF(AND(ABS(Dec!E73)&gt;קריטריונים!$B$1,Dec!B73&gt;קריטריונים!$B$3),Dec!E73,"")</f>
        <v/>
      </c>
      <c r="E72" s="113">
        <f>IF(AND(ABS(Nov!K73)&gt;קריטריונים!$B$2,Nov!B73&gt;קריטריונים!$B$3),Nov!K73,"")</f>
        <v>0.30631180564033667</v>
      </c>
      <c r="F72" s="113">
        <f>IF(AND(ABS(Nov!J73)&gt;קריטריונים!$B$2,Nov!B73&gt;קריטריונים!$B$3),Nov!J73,"")</f>
        <v>0.4112371405961488</v>
      </c>
      <c r="G72" s="113">
        <f>IF(AND(ABS(Nov!F73)&gt;קריטריונים!$B$1,Nov!B73&gt;קריטריונים!$B$3),Nov!F73,"")</f>
        <v>1.4581005586592179</v>
      </c>
      <c r="H72" s="113">
        <f>IF(AND(ABS(Nov!E73)&gt;קריטריונים!$B$1,Nov!B73&gt;קריטריונים!$B$3),Nov!E73,"")</f>
        <v>0.71740827478532432</v>
      </c>
      <c r="I72" s="113" t="str">
        <f>IF(AND(ABS(Oct!K73)&gt;קריטריונים!$B$2,Oct!B73&gt;קריטריונים!$B$3),Oct!K73,"")</f>
        <v/>
      </c>
      <c r="J72" s="113" t="str">
        <f>IF(AND(ABS(Oct!J73)&gt;קריטריונים!$B$2,Oct!B73&gt;קריטריונים!$B$3),Oct!J73,"")</f>
        <v/>
      </c>
      <c r="K72" s="113" t="str">
        <f>IF(AND(ABS(Oct!F73)&gt;קריטריונים!$B$1,Oct!B73&gt;קריטריונים!$B$3),Oct!F73,"")</f>
        <v/>
      </c>
      <c r="L72" s="113" t="str">
        <f>IF(AND(ABS(Oct!E73)&gt;קריטריונים!$B$1,Oct!B73&gt;קריטריונים!$B$3),Oct!E73,"")</f>
        <v/>
      </c>
      <c r="M72" s="113" t="str">
        <f>IF(AND(ABS(Sep!K73)&gt;קריטריונים!$B$2,Sep!B73&gt;קריטריונים!$B$3),Sep!K73,"")</f>
        <v/>
      </c>
      <c r="N72" s="113" t="str">
        <f>IF(AND(ABS(Sep!J73)&gt;קריטריונים!$B$2,Sep!B73&gt;קריטריונים!$B$3),Sep!J73,"")</f>
        <v/>
      </c>
      <c r="O72" s="113" t="str">
        <f>IF(AND(ABS(Sep!F73)&gt;קריטריונים!$B$1,Sep!B73&gt;קריטריונים!$B$3),Sep!F73,"")</f>
        <v/>
      </c>
      <c r="P72" s="113" t="str">
        <f>IF(AND(ABS(Sep!E73)&gt;קריטריונים!$B$1,Sep!B73&gt;קריטריונים!$B$3),Sep!E73,"")</f>
        <v/>
      </c>
      <c r="Q72" s="113" t="str">
        <f>IF(AND(ABS(Aug!K73)&gt;קריטריונים!$B$2,Aug!B73&gt;קריטריונים!$B$3),Aug!K73,"")</f>
        <v/>
      </c>
      <c r="R72" s="113" t="str">
        <f>IF(AND(ABS(Aug!J73)&gt;קריטריונים!$B$2,Aug!B73&gt;קריטריונים!$B$3),Aug!J73,"")</f>
        <v/>
      </c>
      <c r="S72" s="113" t="str">
        <f>IF(AND(ABS(Aug!F73)&gt;קריטריונים!$B$1,Aug!B73&gt;קריטריונים!$B$3),Aug!F73,"")</f>
        <v/>
      </c>
      <c r="T72" s="113" t="str">
        <f>IF(AND(ABS(Aug!E73)&gt;קריטריונים!$B$1,Aug!B73&gt;קריטריונים!$B$3),Aug!E73,"")</f>
        <v/>
      </c>
      <c r="U72" s="113" t="str">
        <f>IF(AND(ABS(Jul!K73)&gt;קריטריונים!$B$2,Jul!B73&gt;קריטריונים!$B$3),Jul!K73,"")</f>
        <v/>
      </c>
      <c r="V72" s="113" t="str">
        <f>IF(AND(ABS(Jul!J73)&gt;קריטריונים!$B$2,Jul!B73&gt;קריטריונים!$B$3),Jul!J73,"")</f>
        <v/>
      </c>
      <c r="W72" s="113" t="str">
        <f>IF(AND(ABS(Jul!F73)&gt;קריטריונים!$B$1,Jul!B73&gt;קריטריונים!$B$3),Jul!F73,"")</f>
        <v/>
      </c>
      <c r="X72" s="113" t="str">
        <f>IF(AND(ABS(Jul!E73)&gt;קריטריונים!$B$1,Jul!B73&gt;קריטריונים!$B$3),Jul!E73,"")</f>
        <v/>
      </c>
      <c r="Y72" s="113" t="str">
        <f>IF(AND(ABS(Jun!K73)&gt;קריטריונים!$B$2,Jun!B73&gt;קריטריונים!$B$3),Jun!K73,"")</f>
        <v/>
      </c>
      <c r="Z72" s="113" t="str">
        <f>IF(AND(ABS(Jun!J73)&gt;קריטריונים!$B$2,Jun!B73&gt;קריטריונים!$B$3),Jun!J73,"")</f>
        <v/>
      </c>
      <c r="AA72" s="113" t="str">
        <f>IF(AND(ABS(Jun!F73)&gt;קריטריונים!$B$1,Jun!B73&gt;קריטריונים!$B$3),Jun!F73,"")</f>
        <v/>
      </c>
      <c r="AB72" s="113" t="str">
        <f>IF(AND(ABS(Jun!E73)&gt;קריטריונים!$B$1,Jun!B73&gt;קריטריונים!$B$3),Jun!E73,"")</f>
        <v/>
      </c>
      <c r="AC72" s="113" t="str">
        <f>IF(AND(ABS(May!K73)&gt;קריטריונים!$B$2,May!B73&gt;קריטריונים!$B$3),May!K73,"")</f>
        <v/>
      </c>
      <c r="AD72" s="113" t="str">
        <f>IF(AND(ABS(May!J73)&gt;קריטריונים!$B$2,May!B73&gt;קריטריונים!$B$3),May!J73,"")</f>
        <v/>
      </c>
      <c r="AE72" s="113" t="str">
        <f>IF(AND(ABS(May!F73)&gt;קריטריונים!$B$1,May!B73&gt;קריטריונים!$B$3),May!F73,"")</f>
        <v/>
      </c>
      <c r="AF72" s="113" t="str">
        <f>IF(AND(ABS(May!E73)&gt;קריטריונים!$B$1,May!B73&gt;קריטריונים!$B$3),May!E73,"")</f>
        <v/>
      </c>
      <c r="AG72" s="113" t="str">
        <f>IF(AND(ABS(Apr!K73)&gt;קריטריונים!$B$2,Apr!B73&gt;קריטריונים!$B$3),Apr!K73,"")</f>
        <v/>
      </c>
      <c r="AH72" s="113" t="str">
        <f>IF(AND(ABS(Apr!J73)&gt;קריטריונים!$B$2,Apr!B73&gt;קריטריונים!$B$3),Apr!J73,"")</f>
        <v/>
      </c>
      <c r="AI72" s="113" t="str">
        <f>IF(AND(ABS(Apr!F73)&gt;קריטריונים!$B$1,Apr!B73&gt;קריטריונים!$B$3),Apr!F73,"")</f>
        <v/>
      </c>
      <c r="AJ72" s="113" t="str">
        <f>IF(AND(ABS(Apr!E73)&gt;קריטריונים!$B$1,Apr!B73&gt;קריטריונים!$B$3),Apr!E73,"")</f>
        <v/>
      </c>
      <c r="AK72" s="113" t="str">
        <f>IF(AND(ABS(Mar!K73)&gt;קריטריונים!$B$2,Mar!B73&gt;קריטריונים!$B$3),Mar!K73,"")</f>
        <v/>
      </c>
      <c r="AL72" s="113" t="str">
        <f>IF(AND(ABS(Mar!J73)&gt;קריטריונים!$B$2,Mar!B73&gt;קריטריונים!$B$3),Mar!J73,"")</f>
        <v/>
      </c>
      <c r="AM72" s="113" t="str">
        <f>IF(AND(ABS(Mar!F73)&gt;קריטריונים!$B$1,Mar!B73&gt;קריטריונים!$B$3),Mar!F73,"")</f>
        <v/>
      </c>
      <c r="AN72" s="113" t="str">
        <f>IF(AND(ABS(Mar!E73)&gt;קריטריונים!$B$1,Mar!B73&gt;קריטריונים!$B$3),Mar!E73,"")</f>
        <v/>
      </c>
      <c r="AO72" s="113" t="str">
        <f>IF(AND(ABS(Feb!K73)&gt;קריטריונים!$B$2,Feb!B73&gt;קריטריונים!$B$3),Feb!K73,"")</f>
        <v/>
      </c>
      <c r="AP72" s="113" t="str">
        <f>IF(AND(ABS(Feb!J73)&gt;קריטריונים!$B$2,Feb!B73&gt;קריטריונים!$B$3),Feb!J73,"")</f>
        <v/>
      </c>
      <c r="AQ72" s="113" t="str">
        <f>IF(AND(ABS(Feb!F73)&gt;קריטריונים!$B$1,Feb!B73&gt;קריטריונים!$B$3),Feb!F73,"")</f>
        <v/>
      </c>
      <c r="AR72" s="113" t="str">
        <f>IF(AND(ABS(Feb!G73)&gt;קריטריונים!$B$1,Feb!C73&gt;קריטריונים!$B$3),Feb!G73,"")</f>
        <v/>
      </c>
      <c r="AS72" s="113" t="str">
        <f>IF(AND(ABS(Feb!H73)&gt;קריטריונים!$B$1,Feb!D73&gt;קריטריונים!$B$3),Feb!H73,"")</f>
        <v/>
      </c>
      <c r="AT72" s="103" t="str">
        <f>IF(AND(ABS(Jan!E73)&gt;קריטריונים!$B$1,Jan!B73&gt;קריטריונים!$B$3),Jan!E73,"")</f>
        <v/>
      </c>
      <c r="AU72" s="118" t="s">
        <v>60</v>
      </c>
    </row>
    <row r="73" spans="1:47">
      <c r="A73" s="112" t="str">
        <f>IF(AND(ABS(Dec!K74)&gt;קריטריונים!$B$2,Dec!B74&gt;קריטריונים!$B$3),Dec!K74,"")</f>
        <v/>
      </c>
      <c r="B73" s="113" t="str">
        <f>IF(AND(ABS(Dec!J74)&gt;קריטריונים!$B$2,Dec!B74&gt;קריטריונים!$B$3),Dec!J74,"")</f>
        <v/>
      </c>
      <c r="C73" s="113" t="str">
        <f>IF(AND(ABS(Dec!F74)&gt;קריטריונים!$B$1,Dec!B74&gt;קריטריונים!$B$3),Dec!F74,"")</f>
        <v/>
      </c>
      <c r="D73" s="113" t="str">
        <f>IF(AND(ABS(Dec!E74)&gt;קריטריונים!$B$1,Dec!B74&gt;קריטריונים!$B$3),Dec!E74,"")</f>
        <v/>
      </c>
      <c r="E73" s="113">
        <f>IF(AND(ABS(Nov!K74)&gt;קריטריונים!$B$2,Nov!B74&gt;קריטריונים!$B$3),Nov!K74,"")</f>
        <v>0.6341553183658446</v>
      </c>
      <c r="F73" s="113">
        <f>IF(AND(ABS(Nov!J74)&gt;קריטריונים!$B$2,Nov!B74&gt;קריטריונים!$B$3),Nov!J74,"")</f>
        <v>0.49666284635609759</v>
      </c>
      <c r="G73" s="113">
        <f>IF(AND(ABS(Nov!F74)&gt;קריטריונים!$B$1,Nov!B74&gt;קריטריונים!$B$3),Nov!F74,"")</f>
        <v>1.872411489645958</v>
      </c>
      <c r="H73" s="113">
        <f>IF(AND(ABS(Nov!E74)&gt;קריטריונים!$B$1,Nov!B74&gt;קריטריונים!$B$3),Nov!E74,"")</f>
        <v>0.92998204667863527</v>
      </c>
      <c r="I73" s="113">
        <f>IF(AND(ABS(Oct!K74)&gt;קריטריונים!$B$2,Oct!B74&gt;קריטריונים!$B$3),Oct!K74,"")</f>
        <v>0.48080741230972857</v>
      </c>
      <c r="J73" s="113">
        <f>IF(AND(ABS(Oct!J74)&gt;קריטריונים!$B$2,Oct!B74&gt;קריטריונים!$B$3),Oct!J74,"")</f>
        <v>0.42007140023800038</v>
      </c>
      <c r="K73" s="113">
        <f>IF(AND(ABS(Oct!F74)&gt;קריטריונים!$B$1,Oct!B74&gt;קריטריונים!$B$3),Oct!F74,"")</f>
        <v>0.4522821576763485</v>
      </c>
      <c r="L73" s="113">
        <f>IF(AND(ABS(Oct!E74)&gt;קריטריונים!$B$1,Oct!B74&gt;קריטריונים!$B$3),Oct!E74,"")</f>
        <v>0.36054421768707479</v>
      </c>
      <c r="M73" s="113">
        <f>IF(AND(ABS(Sep!K74)&gt;קריטריונים!$B$2,Sep!B74&gt;קריטריונים!$B$3),Sep!K74,"")</f>
        <v>0.48622047244094491</v>
      </c>
      <c r="N73" s="113">
        <f>IF(AND(ABS(Sep!J74)&gt;קריטריונים!$B$2,Sep!B74&gt;קריטריונים!$B$3),Sep!J74,"")</f>
        <v>0.43168673556461523</v>
      </c>
      <c r="O73" s="113">
        <f>IF(AND(ABS(Sep!F74)&gt;קריטריונים!$B$1,Sep!B74&gt;קריטריונים!$B$3),Sep!F74,"")</f>
        <v>0.3793103448275863</v>
      </c>
      <c r="P73" s="113">
        <f>IF(AND(ABS(Sep!E74)&gt;קריטריונים!$B$1,Sep!B74&gt;קריטריונים!$B$3),Sep!E74,"")</f>
        <v>4.4689495066744023E-2</v>
      </c>
      <c r="Q73" s="113" t="str">
        <f>IF(AND(ABS(Aug!K74)&gt;קריטריונים!$B$2,Aug!B74&gt;קריטריונים!$B$3),Aug!K74,"")</f>
        <v/>
      </c>
      <c r="R73" s="113" t="str">
        <f>IF(AND(ABS(Aug!J74)&gt;קריטריונים!$B$2,Aug!B74&gt;קריטריונים!$B$3),Aug!J74,"")</f>
        <v/>
      </c>
      <c r="S73" s="113" t="str">
        <f>IF(AND(ABS(Aug!F74)&gt;קריטריונים!$B$1,Aug!B74&gt;קריטריונים!$B$3),Aug!F74,"")</f>
        <v/>
      </c>
      <c r="T73" s="113" t="str">
        <f>IF(AND(ABS(Aug!E74)&gt;קריטריונים!$B$1,Aug!B74&gt;קריטריונים!$B$3),Aug!E74,"")</f>
        <v/>
      </c>
      <c r="U73" s="113">
        <f>IF(AND(ABS(Jul!K74)&gt;קריטריונים!$B$2,Jul!B74&gt;קריטריונים!$B$3),Jul!K74,"")</f>
        <v>0.37775268210050794</v>
      </c>
      <c r="V73" s="113">
        <f>IF(AND(ABS(Jul!J74)&gt;קריטריונים!$B$2,Jul!B74&gt;קריטריונים!$B$3),Jul!J74,"")</f>
        <v>0.56893004115226309</v>
      </c>
      <c r="W73" s="113">
        <f>IF(AND(ABS(Jul!F74)&gt;קריטריונים!$B$1,Jul!B74&gt;קריטריונים!$B$3),Jul!F74,"")</f>
        <v>0.2738853503184715</v>
      </c>
      <c r="X73" s="113">
        <f>IF(AND(ABS(Jul!E74)&gt;קריטריונים!$B$1,Jul!B74&gt;קריטריונים!$B$3),Jul!E74,"")</f>
        <v>0.30505709624796085</v>
      </c>
      <c r="Y73" s="113">
        <f>IF(AND(ABS(Jun!K74)&gt;קריטריונים!$B$2,Jun!B74&gt;קריטריונים!$B$3),Jun!K74,"")</f>
        <v>0.49654101369476211</v>
      </c>
      <c r="Z73" s="113">
        <f>IF(AND(ABS(Jun!J74)&gt;קריטריונים!$B$2,Jun!B74&gt;קריטריונים!$B$3),Jun!J74,"")</f>
        <v>0.61832061068702271</v>
      </c>
      <c r="AA73" s="113">
        <f>IF(AND(ABS(Jun!F74)&gt;קריטריונים!$B$1,Jun!B74&gt;קריטריונים!$B$3),Jun!F74,"")</f>
        <v>0.73292558613659531</v>
      </c>
      <c r="AB73" s="113">
        <f>IF(AND(ABS(Jun!E74)&gt;קריטריונים!$B$1,Jun!B74&gt;קריטריונים!$B$3),Jun!E74,"")</f>
        <v>0.67984189723320143</v>
      </c>
      <c r="AC73" s="113">
        <f>IF(AND(ABS(May!K74)&gt;קריטריונים!$B$2,May!B74&gt;קריטריונים!$B$3),May!K74,"")</f>
        <v>0.59099034680014317</v>
      </c>
      <c r="AD73" s="113">
        <f>IF(AND(ABS(May!J74)&gt;קריטריונים!$B$2,May!B74&gt;קריטריונים!$B$3),May!J74,"")</f>
        <v>0.60707836764174794</v>
      </c>
      <c r="AE73" s="113">
        <f>IF(AND(ABS(May!F74)&gt;קריטריונים!$B$1,May!B74&gt;קריטריונים!$B$3),May!F74,"")</f>
        <v>0.61662817551963056</v>
      </c>
      <c r="AF73" s="113">
        <f>IF(AND(ABS(May!E74)&gt;קריטריונים!$B$1,May!B74&gt;קריטריונים!$B$3),May!E74,"")</f>
        <v>0.58610271903323263</v>
      </c>
      <c r="AG73" s="113">
        <f>IF(AND(ABS(Apr!K74)&gt;קריטריונים!$B$2,Apr!B74&gt;קריטריונים!$B$3),Apr!K74,"")</f>
        <v>0.58323632130384162</v>
      </c>
      <c r="AH73" s="113">
        <f>IF(AND(ABS(Apr!J74)&gt;קריטריונים!$B$2,Apr!B74&gt;קריטריונים!$B$3),Apr!J74,"")</f>
        <v>0.61366872330327449</v>
      </c>
      <c r="AI73" s="113">
        <f>IF(AND(ABS(Apr!F74)&gt;קריטריונים!$B$1,Apr!B74&gt;קריטריונים!$B$3),Apr!F74,"")</f>
        <v>0.4218009478672986</v>
      </c>
      <c r="AJ73" s="113">
        <f>IF(AND(ABS(Apr!E74)&gt;קריטריונים!$B$1,Apr!B74&gt;קריטריונים!$B$3),Apr!E74,"")</f>
        <v>0.54373927958833623</v>
      </c>
      <c r="AK73" s="113">
        <f>IF(AND(ABS(Mar!K74)&gt;קריטריונים!$B$2,Mar!B74&gt;קריטריונים!$B$3),Mar!K74,"")</f>
        <v>0.650709805216243</v>
      </c>
      <c r="AL73" s="113">
        <f>IF(AND(ABS(Mar!J74)&gt;קריטריונים!$B$2,Mar!B74&gt;קריטריונים!$B$3),Mar!J74,"")</f>
        <v>0.64041994750656173</v>
      </c>
      <c r="AM73" s="113">
        <f>IF(AND(ABS(Mar!F74)&gt;קריטריונים!$B$1,Mar!B74&gt;קריטריונים!$B$3),Mar!F74,"")</f>
        <v>0.51975683890577495</v>
      </c>
      <c r="AN73" s="113">
        <f>IF(AND(ABS(Mar!E74)&gt;קריטריונים!$B$1,Mar!B74&gt;קריטריונים!$B$3),Mar!E74,"")</f>
        <v>0.83823529411764697</v>
      </c>
      <c r="AO73" s="113" t="str">
        <f>IF(AND(ABS(Feb!K74)&gt;קריטריונים!$B$2,Feb!B74&gt;קריטריונים!$B$3),Feb!K74,"")</f>
        <v/>
      </c>
      <c r="AP73" s="113" t="str">
        <f>IF(AND(ABS(Feb!J74)&gt;קריטריונים!$B$2,Feb!B74&gt;קריטריונים!$B$3),Feb!J74,"")</f>
        <v/>
      </c>
      <c r="AQ73" s="113" t="str">
        <f>IF(AND(ABS(Feb!F74)&gt;קריטריונים!$B$1,Feb!B74&gt;קריטריונים!$B$3),Feb!F74,"")</f>
        <v/>
      </c>
      <c r="AR73" s="113" t="str">
        <f>IF(AND(ABS(Feb!G74)&gt;קריטריונים!$B$1,Feb!C74&gt;קריטריונים!$B$3),Feb!G74,"")</f>
        <v/>
      </c>
      <c r="AS73" s="113" t="str">
        <f>IF(AND(ABS(Feb!H74)&gt;קריטריונים!$B$1,Feb!D74&gt;קריטריונים!$B$3),Feb!H74,"")</f>
        <v/>
      </c>
      <c r="AT73" s="103" t="str">
        <f>IF(AND(ABS(Jan!E74)&gt;קריטריונים!$B$1,Jan!B74&gt;קריטריונים!$B$3),Jan!E74,"")</f>
        <v/>
      </c>
      <c r="AU73" s="118" t="s">
        <v>61</v>
      </c>
    </row>
    <row r="74" spans="1:47">
      <c r="A74" s="112" t="str">
        <f>IF(AND(ABS(Dec!K75)&gt;קריטריונים!$B$2,Dec!B75&gt;קריטריונים!$B$3),Dec!K75,"")</f>
        <v/>
      </c>
      <c r="B74" s="113" t="str">
        <f>IF(AND(ABS(Dec!J75)&gt;קריטריונים!$B$2,Dec!B75&gt;קריטריונים!$B$3),Dec!J75,"")</f>
        <v/>
      </c>
      <c r="C74" s="113" t="str">
        <f>IF(AND(ABS(Dec!F75)&gt;קריטריונים!$B$1,Dec!B75&gt;קריטריונים!$B$3),Dec!F75,"")</f>
        <v/>
      </c>
      <c r="D74" s="113" t="str">
        <f>IF(AND(ABS(Dec!E75)&gt;קריטריונים!$B$1,Dec!B75&gt;קריטריונים!$B$3),Dec!E75,"")</f>
        <v/>
      </c>
      <c r="E74" s="113">
        <f>IF(AND(ABS(Nov!K75)&gt;קריטריונים!$B$2,Nov!B75&gt;קריטריונים!$B$3),Nov!K75,"")</f>
        <v>0.59258378892322305</v>
      </c>
      <c r="F74" s="113">
        <f>IF(AND(ABS(Nov!J75)&gt;קריטריונים!$B$2,Nov!B75&gt;קריטריונים!$B$3),Nov!J75,"")</f>
        <v>0.69620253164556956</v>
      </c>
      <c r="G74" s="113">
        <f>IF(AND(ABS(Nov!F75)&gt;קריטריונים!$B$1,Nov!B75&gt;קריטריונים!$B$3),Nov!F75,"")</f>
        <v>1.9947916666666665</v>
      </c>
      <c r="H74" s="113">
        <f>IF(AND(ABS(Nov!E75)&gt;קריטריונים!$B$1,Nov!B75&gt;קריטריונים!$B$3),Nov!E75,"")</f>
        <v>0.38387484957882068</v>
      </c>
      <c r="I74" s="113">
        <f>IF(AND(ABS(Oct!K75)&gt;קריטריונים!$B$2,Oct!B75&gt;קריטריונים!$B$3),Oct!K75,"")</f>
        <v>0.45173947161914718</v>
      </c>
      <c r="J74" s="113">
        <f>IF(AND(ABS(Oct!J75)&gt;קריטריונים!$B$2,Oct!B75&gt;קריטריונים!$B$3),Oct!J75,"")</f>
        <v>0.77941647964091065</v>
      </c>
      <c r="K74" s="113">
        <f>IF(AND(ABS(Oct!F75)&gt;קריטריונים!$B$1,Oct!B75&gt;קריטריונים!$B$3),Oct!F75,"")</f>
        <v>0.49647887323943674</v>
      </c>
      <c r="L74" s="113">
        <f>IF(AND(ABS(Oct!E75)&gt;קריטריונים!$B$1,Oct!B75&gt;קריטריונים!$B$3),Oct!E75,"")</f>
        <v>1.3351648351648353</v>
      </c>
      <c r="M74" s="113" t="str">
        <f>IF(AND(ABS(Sep!K75)&gt;קריטריונים!$B$2,Sep!B75&gt;קריטריונים!$B$3),Sep!K75,"")</f>
        <v/>
      </c>
      <c r="N74" s="113" t="str">
        <f>IF(AND(ABS(Sep!J75)&gt;קריטריונים!$B$2,Sep!B75&gt;קריטריונים!$B$3),Sep!J75,"")</f>
        <v/>
      </c>
      <c r="O74" s="113" t="str">
        <f>IF(AND(ABS(Sep!F75)&gt;קריטריונים!$B$1,Sep!B75&gt;קריטריונים!$B$3),Sep!F75,"")</f>
        <v/>
      </c>
      <c r="P74" s="113" t="str">
        <f>IF(AND(ABS(Sep!E75)&gt;קריטריונים!$B$1,Sep!B75&gt;קריטריונים!$B$3),Sep!E75,"")</f>
        <v/>
      </c>
      <c r="Q74" s="113" t="str">
        <f>IF(AND(ABS(Aug!K75)&gt;קריטריונים!$B$2,Aug!B75&gt;קריטריונים!$B$3),Aug!K75,"")</f>
        <v/>
      </c>
      <c r="R74" s="113" t="str">
        <f>IF(AND(ABS(Aug!J75)&gt;קריטריונים!$B$2,Aug!B75&gt;קריטריונים!$B$3),Aug!J75,"")</f>
        <v/>
      </c>
      <c r="S74" s="113" t="str">
        <f>IF(AND(ABS(Aug!F75)&gt;קריטריונים!$B$1,Aug!B75&gt;קריטריונים!$B$3),Aug!F75,"")</f>
        <v/>
      </c>
      <c r="T74" s="113" t="str">
        <f>IF(AND(ABS(Aug!E75)&gt;קריטריונים!$B$1,Aug!B75&gt;קריטריונים!$B$3),Aug!E75,"")</f>
        <v/>
      </c>
      <c r="U74" s="113" t="str">
        <f>IF(AND(ABS(Jul!K75)&gt;קריטריונים!$B$2,Jul!B75&gt;קריטריונים!$B$3),Jul!K75,"")</f>
        <v/>
      </c>
      <c r="V74" s="113" t="str">
        <f>IF(AND(ABS(Jul!J75)&gt;קריטריונים!$B$2,Jul!B75&gt;קריטריונים!$B$3),Jul!J75,"")</f>
        <v/>
      </c>
      <c r="W74" s="113" t="str">
        <f>IF(AND(ABS(Jul!F75)&gt;קריטריונים!$B$1,Jul!B75&gt;קריטריונים!$B$3),Jul!F75,"")</f>
        <v/>
      </c>
      <c r="X74" s="113" t="str">
        <f>IF(AND(ABS(Jul!E75)&gt;קריטריונים!$B$1,Jul!B75&gt;קריטריונים!$B$3),Jul!E75,"")</f>
        <v/>
      </c>
      <c r="Y74" s="113" t="str">
        <f>IF(AND(ABS(Jun!K75)&gt;קריטריונים!$B$2,Jun!B75&gt;קריטריונים!$B$3),Jun!K75,"")</f>
        <v/>
      </c>
      <c r="Z74" s="113" t="str">
        <f>IF(AND(ABS(Jun!J75)&gt;קריטריונים!$B$2,Jun!B75&gt;קריטריונים!$B$3),Jun!J75,"")</f>
        <v/>
      </c>
      <c r="AA74" s="113" t="str">
        <f>IF(AND(ABS(Jun!F75)&gt;קריטריונים!$B$1,Jun!B75&gt;קריטריונים!$B$3),Jun!F75,"")</f>
        <v/>
      </c>
      <c r="AB74" s="113" t="str">
        <f>IF(AND(ABS(Jun!E75)&gt;קריטריונים!$B$1,Jun!B75&gt;קריטריונים!$B$3),Jun!E75,"")</f>
        <v/>
      </c>
      <c r="AC74" s="113" t="str">
        <f>IF(AND(ABS(May!K75)&gt;קריטריונים!$B$2,May!B75&gt;קריטריונים!$B$3),May!K75,"")</f>
        <v/>
      </c>
      <c r="AD74" s="113" t="str">
        <f>IF(AND(ABS(May!J75)&gt;קריטריונים!$B$2,May!B75&gt;קריטריונים!$B$3),May!J75,"")</f>
        <v/>
      </c>
      <c r="AE74" s="113" t="str">
        <f>IF(AND(ABS(May!F75)&gt;קריטריונים!$B$1,May!B75&gt;קריטריונים!$B$3),May!F75,"")</f>
        <v/>
      </c>
      <c r="AF74" s="113" t="str">
        <f>IF(AND(ABS(May!E75)&gt;קריטריונים!$B$1,May!B75&gt;קריטריונים!$B$3),May!E75,"")</f>
        <v/>
      </c>
      <c r="AG74" s="113" t="str">
        <f>IF(AND(ABS(Apr!K75)&gt;קריטריונים!$B$2,Apr!B75&gt;קריטריונים!$B$3),Apr!K75,"")</f>
        <v/>
      </c>
      <c r="AH74" s="113" t="str">
        <f>IF(AND(ABS(Apr!J75)&gt;קריטריונים!$B$2,Apr!B75&gt;קריטריונים!$B$3),Apr!J75,"")</f>
        <v/>
      </c>
      <c r="AI74" s="113" t="str">
        <f>IF(AND(ABS(Apr!F75)&gt;קריטריונים!$B$1,Apr!B75&gt;קריטריונים!$B$3),Apr!F75,"")</f>
        <v/>
      </c>
      <c r="AJ74" s="113" t="str">
        <f>IF(AND(ABS(Apr!E75)&gt;קריטריונים!$B$1,Apr!B75&gt;קריטריונים!$B$3),Apr!E75,"")</f>
        <v/>
      </c>
      <c r="AK74" s="113">
        <f>IF(AND(ABS(Mar!K75)&gt;קריטריונים!$B$2,Mar!B75&gt;קריטריונים!$B$3),Mar!K75,"")</f>
        <v>1.0342117429496072</v>
      </c>
      <c r="AL74" s="113">
        <f>IF(AND(ABS(Mar!J75)&gt;קריטריונים!$B$2,Mar!B75&gt;קריטריונים!$B$3),Mar!J75,"")</f>
        <v>1.350427350427351</v>
      </c>
      <c r="AM74" s="113">
        <f>IF(AND(ABS(Mar!F75)&gt;קריטריונים!$B$1,Mar!B75&gt;קריטריונים!$B$3),Mar!F75,"")</f>
        <v>0.96749358426005116</v>
      </c>
      <c r="AN74" s="113">
        <f>IF(AND(ABS(Mar!E75)&gt;קריטריונים!$B$1,Mar!B75&gt;קריטריונים!$B$3),Mar!E75,"")</f>
        <v>1.5988700564971747</v>
      </c>
      <c r="AO74" s="113" t="str">
        <f>IF(AND(ABS(Feb!K75)&gt;קריטריונים!$B$2,Feb!B75&gt;קריטריונים!$B$3),Feb!K75,"")</f>
        <v/>
      </c>
      <c r="AP74" s="113" t="str">
        <f>IF(AND(ABS(Feb!J75)&gt;קריטריונים!$B$2,Feb!B75&gt;קריטריונים!$B$3),Feb!J75,"")</f>
        <v/>
      </c>
      <c r="AQ74" s="113" t="str">
        <f>IF(AND(ABS(Feb!F75)&gt;קריטריונים!$B$1,Feb!B75&gt;קריטריונים!$B$3),Feb!F75,"")</f>
        <v/>
      </c>
      <c r="AR74" s="113" t="str">
        <f>IF(AND(ABS(Feb!G75)&gt;קריטריונים!$B$1,Feb!C75&gt;קריטריונים!$B$3),Feb!G75,"")</f>
        <v/>
      </c>
      <c r="AS74" s="113" t="str">
        <f>IF(AND(ABS(Feb!H75)&gt;קריטריונים!$B$1,Feb!D75&gt;קריטריונים!$B$3),Feb!H75,"")</f>
        <v/>
      </c>
      <c r="AT74" s="103" t="str">
        <f>IF(AND(ABS(Jan!E75)&gt;קריטריונים!$B$1,Jan!B75&gt;קריטריונים!$B$3),Jan!E75,"")</f>
        <v/>
      </c>
      <c r="AU74" s="118" t="s">
        <v>62</v>
      </c>
    </row>
    <row r="75" spans="1:47">
      <c r="A75" s="112" t="str">
        <f>IF(AND(ABS(Dec!K76)&gt;קריטריונים!$B$2,Dec!B76&gt;קריטריונים!$B$3),Dec!K76,"")</f>
        <v/>
      </c>
      <c r="B75" s="113" t="str">
        <f>IF(AND(ABS(Dec!J76)&gt;קריטריונים!$B$2,Dec!B76&gt;קריטריונים!$B$3),Dec!J76,"")</f>
        <v/>
      </c>
      <c r="C75" s="113" t="str">
        <f>IF(AND(ABS(Dec!F76)&gt;קריטריונים!$B$1,Dec!B76&gt;קריטריונים!$B$3),Dec!F76,"")</f>
        <v/>
      </c>
      <c r="D75" s="113" t="str">
        <f>IF(AND(ABS(Dec!E76)&gt;קריטריונים!$B$1,Dec!B76&gt;קריטריונים!$B$3),Dec!E76,"")</f>
        <v/>
      </c>
      <c r="E75" s="113">
        <f>IF(AND(ABS(Nov!K76)&gt;קריטריונים!$B$2,Nov!B76&gt;קריטריונים!$B$3),Nov!K76,"")</f>
        <v>0.77914520767841622</v>
      </c>
      <c r="F75" s="113">
        <f>IF(AND(ABS(Nov!J76)&gt;קריטריונים!$B$2,Nov!B76&gt;קריטריונים!$B$3),Nov!J76,"")</f>
        <v>0.6252214822508706</v>
      </c>
      <c r="G75" s="113">
        <f>IF(AND(ABS(Nov!F76)&gt;קריטריונים!$B$1,Nov!B76&gt;קריטריונים!$B$3),Nov!F76,"")</f>
        <v>1.4701195219123511</v>
      </c>
      <c r="H75" s="113">
        <f>IF(AND(ABS(Nov!E76)&gt;קריטריונים!$B$1,Nov!B76&gt;קריטריונים!$B$3),Nov!E76,"")</f>
        <v>0.52409046214355959</v>
      </c>
      <c r="I75" s="113">
        <f>IF(AND(ABS(Oct!K76)&gt;קריטריונים!$B$2,Oct!B76&gt;קריטריונים!$B$3),Oct!K76,"")</f>
        <v>0.71582943925233655</v>
      </c>
      <c r="J75" s="113">
        <f>IF(AND(ABS(Oct!J76)&gt;קריטריונים!$B$2,Oct!B76&gt;קריטריונים!$B$3),Oct!J76,"")</f>
        <v>0.63957301332589123</v>
      </c>
      <c r="K75" s="113">
        <f>IF(AND(ABS(Oct!F76)&gt;קריטריונים!$B$1,Oct!B76&gt;קריטריונים!$B$3),Oct!F76,"")</f>
        <v>1.4251069900142652</v>
      </c>
      <c r="L75" s="113">
        <f>IF(AND(ABS(Oct!E76)&gt;קריטריונים!$B$1,Oct!B76&gt;קריטריונים!$B$3),Oct!E76,"")</f>
        <v>1.4199288256227756</v>
      </c>
      <c r="M75" s="113">
        <f>IF(AND(ABS(Sep!K76)&gt;קריטריונים!$B$2,Sep!B76&gt;קריטריונים!$B$3),Sep!K76,"")</f>
        <v>0.63494387506100547</v>
      </c>
      <c r="N75" s="113">
        <f>IF(AND(ABS(Sep!J76)&gt;קריטריונים!$B$2,Sep!B76&gt;קריטריונים!$B$3),Sep!J76,"")</f>
        <v>0.55476485148514842</v>
      </c>
      <c r="O75" s="113">
        <f>IF(AND(ABS(Sep!F76)&gt;קריטריונים!$B$1,Sep!B76&gt;קריטריונים!$B$3),Sep!F76,"")</f>
        <v>1.4174053182917001</v>
      </c>
      <c r="P75" s="113">
        <f>IF(AND(ABS(Sep!E76)&gt;קריטריונים!$B$1,Sep!B76&gt;קריטריונים!$B$3),Sep!E76,"")</f>
        <v>0.56412930135557882</v>
      </c>
      <c r="Q75" s="113">
        <f>IF(AND(ABS(Aug!K76)&gt;קריטריונים!$B$2,Aug!B76&gt;קריטריונים!$B$3),Aug!K76,"")</f>
        <v>0.54709128743327606</v>
      </c>
      <c r="R75" s="113">
        <f>IF(AND(ABS(Aug!J76)&gt;קריטריונים!$B$2,Aug!B76&gt;קריטריונים!$B$3),Aug!J76,"")</f>
        <v>0.55313351498637586</v>
      </c>
      <c r="S75" s="113">
        <f>IF(AND(ABS(Aug!F76)&gt;קריטריונים!$B$1,Aug!B76&gt;קריטריונים!$B$3),Aug!F76,"")</f>
        <v>0.40296180826188643</v>
      </c>
      <c r="T75" s="113">
        <f>IF(AND(ABS(Aug!E76)&gt;קריטריונים!$B$1,Aug!B76&gt;קריטריונים!$B$3),Aug!E76,"")</f>
        <v>0.20643431635388754</v>
      </c>
      <c r="U75" s="113">
        <f>IF(AND(ABS(Jul!K76)&gt;קריטריונים!$B$2,Jul!B76&gt;קריטריונים!$B$3),Jul!K76,"")</f>
        <v>0.38423957296661526</v>
      </c>
      <c r="V75" s="113">
        <f>IF(AND(ABS(Jul!J76)&gt;קריטריונים!$B$2,Jul!B76&gt;קריטריונים!$B$3),Jul!J76,"")</f>
        <v>0.60748056314351762</v>
      </c>
      <c r="W75" s="113">
        <f>IF(AND(ABS(Jul!F76)&gt;קריטריונים!$B$1,Jul!B76&gt;קריטריונים!$B$3),Jul!F76,"")</f>
        <v>0.18733509234828505</v>
      </c>
      <c r="X75" s="113">
        <f>IF(AND(ABS(Jul!E76)&gt;קריטריונים!$B$1,Jul!B76&gt;קריטריונים!$B$3),Jul!E76,"")</f>
        <v>0.35135135135135132</v>
      </c>
      <c r="Y75" s="113">
        <f>IF(AND(ABS(Jun!K76)&gt;קריטריונים!$B$2,Jun!B76&gt;קריטריונים!$B$3),Jun!K76,"")</f>
        <v>0.60504101771489727</v>
      </c>
      <c r="Z75" s="113">
        <f>IF(AND(ABS(Jun!J76)&gt;קריטריונים!$B$2,Jun!B76&gt;קריטריונים!$B$3),Jun!J76,"")</f>
        <v>0.64915709748350836</v>
      </c>
      <c r="AA75" s="113">
        <f>IF(AND(ABS(Jun!F76)&gt;קריטריונים!$B$1,Jun!B76&gt;קריטריונים!$B$3),Jun!F76,"")</f>
        <v>0.49253731343283569</v>
      </c>
      <c r="AB75" s="113">
        <f>IF(AND(ABS(Jun!E76)&gt;קריטריונים!$B$1,Jun!B76&gt;קריטריונים!$B$3),Jun!E76,"")</f>
        <v>0.87125748502993994</v>
      </c>
      <c r="AC75" s="113">
        <f>IF(AND(ABS(May!K76)&gt;קריטריונים!$B$2,May!B76&gt;קריטריונים!$B$3),May!K76,"")</f>
        <v>0.67198662410700716</v>
      </c>
      <c r="AD75" s="113">
        <f>IF(AND(ABS(May!J76)&gt;קריטריונים!$B$2,May!B76&gt;קריטריונים!$B$3),May!J76,"")</f>
        <v>0.6058394160583942</v>
      </c>
      <c r="AE75" s="113">
        <f>IF(AND(ABS(May!F76)&gt;קריטריונים!$B$1,May!B76&gt;קריטריונים!$B$3),May!F76,"")</f>
        <v>1.0509193776520509</v>
      </c>
      <c r="AF75" s="113">
        <f>IF(AND(ABS(May!E76)&gt;קריטריונים!$B$1,May!B76&gt;קריטריונים!$B$3),May!E76,"")</f>
        <v>0.82389937106918221</v>
      </c>
      <c r="AG75" s="113">
        <f>IF(AND(ABS(Apr!K76)&gt;קריטריונים!$B$2,Apr!B76&gt;קריטריונים!$B$3),Apr!K76,"")</f>
        <v>0.56824782187802514</v>
      </c>
      <c r="AH75" s="113">
        <f>IF(AND(ABS(Apr!J76)&gt;קריטריונים!$B$2,Apr!B76&gt;קריטריונים!$B$3),Apr!J76,"")</f>
        <v>0.53992395437262353</v>
      </c>
      <c r="AI75" s="113">
        <f>IF(AND(ABS(Apr!F76)&gt;קריטריונים!$B$1,Apr!B76&gt;קריטריונים!$B$3),Apr!F76,"")</f>
        <v>0.22815304676428916</v>
      </c>
      <c r="AJ75" s="113">
        <f>IF(AND(ABS(Apr!E76)&gt;קריטריונים!$B$1,Apr!B76&gt;קריטריונים!$B$3),Apr!E76,"")</f>
        <v>0.57958687727825042</v>
      </c>
      <c r="AK75" s="113">
        <f>IF(AND(ABS(Mar!K76)&gt;קריטריונים!$B$2,Mar!B76&gt;קריטריונים!$B$3),Mar!K76,"")</f>
        <v>0.8044619422572179</v>
      </c>
      <c r="AL75" s="113">
        <f>IF(AND(ABS(Mar!J76)&gt;קריטריונים!$B$2,Mar!B76&gt;קריטריונים!$B$3),Mar!J76,"")</f>
        <v>0.52185943552850023</v>
      </c>
      <c r="AM75" s="113">
        <f>IF(AND(ABS(Mar!F76)&gt;קריטריונים!$B$1,Mar!B76&gt;קריטריונים!$B$3),Mar!F76,"")</f>
        <v>0.69811320754716988</v>
      </c>
      <c r="AN75" s="113">
        <f>IF(AND(ABS(Mar!E76)&gt;קריטריונים!$B$1,Mar!B76&gt;קריטריונים!$B$3),Mar!E76,"")</f>
        <v>0.32061628760088046</v>
      </c>
      <c r="AO75" s="113">
        <f>IF(AND(ABS(Feb!K76)&gt;קריטריונים!$B$2,Feb!B76&gt;קריטריונים!$B$3),Feb!K76,"")</f>
        <v>0.86116700201207252</v>
      </c>
      <c r="AP75" s="113">
        <f>IF(AND(ABS(Feb!J76)&gt;קריטריונים!$B$2,Feb!B76&gt;קריטריונים!$B$3),Feb!J76,"")</f>
        <v>0.64371390493114178</v>
      </c>
      <c r="AQ75" s="113">
        <f>IF(AND(ABS(Feb!F76)&gt;קריטריונים!$B$1,Feb!B76&gt;קריטריונים!$B$3),Feb!F76,"")</f>
        <v>0.7751479289940828</v>
      </c>
      <c r="AR75" s="113" t="str">
        <f>IF(AND(ABS(Feb!G76)&gt;קריטריונים!$B$1,Feb!C76&gt;קריטריונים!$B$3),Feb!G76,"")</f>
        <v/>
      </c>
      <c r="AS75" s="113" t="str">
        <f>IF(AND(ABS(Feb!H76)&gt;קריטריונים!$B$1,Feb!D76&gt;קריטריונים!$B$3),Feb!H76,"")</f>
        <v/>
      </c>
      <c r="AT75" s="103">
        <f>IF(AND(ABS(Jan!E76)&gt;קריטריונים!$B$1,Jan!B76&gt;קריטריונים!$B$3),Jan!E76,"")</f>
        <v>0.74471992653810837</v>
      </c>
      <c r="AU75" s="118" t="s">
        <v>63</v>
      </c>
    </row>
    <row r="76" spans="1:47">
      <c r="A76" s="112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 t="str">
        <f>IF(AND(ABS(Feb!G77)&gt;קריטריונים!$B$1,Feb!C77&gt;קריטריונים!$B$3),Feb!G77,"")</f>
        <v/>
      </c>
      <c r="AS76" s="113" t="str">
        <f>IF(AND(ABS(Feb!H77)&gt;קריטריונים!$B$1,Feb!D77&gt;קריטריונים!$B$3),Feb!H77,"")</f>
        <v/>
      </c>
      <c r="AT76" s="103" t="str">
        <f>IF(AND(ABS(Jan!E77)&gt;קריטריונים!$B$1,Jan!B77&gt;קריטריונים!$B$3),Jan!E77,"")</f>
        <v/>
      </c>
      <c r="AU76" s="118" t="s">
        <v>64</v>
      </c>
    </row>
    <row r="77" spans="1:47">
      <c r="A77" s="112" t="str">
        <f>IF(AND(ABS(Dec!K78)&gt;קריטריונים!$B$2,Dec!B78&gt;קריטריונים!$B$3),Dec!K78,"")</f>
        <v/>
      </c>
      <c r="B77" s="113" t="str">
        <f>IF(AND(ABS(Dec!J78)&gt;קריטריונים!$B$2,Dec!B78&gt;קריטריונים!$B$3),Dec!J78,"")</f>
        <v/>
      </c>
      <c r="C77" s="113" t="str">
        <f>IF(AND(ABS(Dec!F78)&gt;קריטריונים!$B$1,Dec!B78&gt;קריטריונים!$B$3),Dec!F78,"")</f>
        <v/>
      </c>
      <c r="D77" s="113" t="str">
        <f>IF(AND(ABS(Dec!E78)&gt;קריטריונים!$B$1,Dec!B78&gt;קריטריונים!$B$3),Dec!E78,"")</f>
        <v/>
      </c>
      <c r="E77" s="113" t="str">
        <f>IF(AND(ABS(Nov!K78)&gt;קריטריונים!$B$2,Nov!B78&gt;קריטריונים!$B$3),Nov!K78,"")</f>
        <v/>
      </c>
      <c r="F77" s="113" t="str">
        <f>IF(AND(ABS(Nov!J78)&gt;קריטריונים!$B$2,Nov!B78&gt;קריטריונים!$B$3),Nov!J78,"")</f>
        <v/>
      </c>
      <c r="G77" s="113" t="str">
        <f>IF(AND(ABS(Nov!F78)&gt;קריטריונים!$B$1,Nov!B78&gt;קריטריונים!$B$3),Nov!F78,"")</f>
        <v/>
      </c>
      <c r="H77" s="113" t="str">
        <f>IF(AND(ABS(Nov!E78)&gt;קריטריונים!$B$1,Nov!B78&gt;קריטריונים!$B$3),Nov!E78,"")</f>
        <v/>
      </c>
      <c r="I77" s="113" t="str">
        <f>IF(AND(ABS(Oct!K78)&gt;קריטריונים!$B$2,Oct!B78&gt;קריטריונים!$B$3),Oct!K78,"")</f>
        <v/>
      </c>
      <c r="J77" s="113" t="str">
        <f>IF(AND(ABS(Oct!J78)&gt;קריטריונים!$B$2,Oct!B78&gt;קריטריונים!$B$3),Oct!J78,"")</f>
        <v/>
      </c>
      <c r="K77" s="113" t="str">
        <f>IF(AND(ABS(Oct!F78)&gt;קריטריונים!$B$1,Oct!B78&gt;קריטריונים!$B$3),Oct!F78,"")</f>
        <v/>
      </c>
      <c r="L77" s="113" t="str">
        <f>IF(AND(ABS(Oct!E78)&gt;קריטריונים!$B$1,Oct!B78&gt;קריטריונים!$B$3),Oct!E78,"")</f>
        <v/>
      </c>
      <c r="M77" s="113" t="str">
        <f>IF(AND(ABS(Sep!K78)&gt;קריטריונים!$B$2,Sep!B78&gt;קריטריונים!$B$3),Sep!K78,"")</f>
        <v/>
      </c>
      <c r="N77" s="113" t="str">
        <f>IF(AND(ABS(Sep!J78)&gt;קריטריונים!$B$2,Sep!B78&gt;קריטריונים!$B$3),Sep!J78,"")</f>
        <v/>
      </c>
      <c r="O77" s="113" t="str">
        <f>IF(AND(ABS(Sep!F78)&gt;קריטריונים!$B$1,Sep!B78&gt;קריטריונים!$B$3),Sep!F78,"")</f>
        <v/>
      </c>
      <c r="P77" s="113" t="str">
        <f>IF(AND(ABS(Sep!E78)&gt;קריטריונים!$B$1,Sep!B78&gt;קריטריונים!$B$3),Sep!E78,"")</f>
        <v/>
      </c>
      <c r="Q77" s="113" t="str">
        <f>IF(AND(ABS(Aug!K78)&gt;קריטריונים!$B$2,Aug!B78&gt;קריטריונים!$B$3),Aug!K78,"")</f>
        <v/>
      </c>
      <c r="R77" s="113" t="str">
        <f>IF(AND(ABS(Aug!J78)&gt;קריטריונים!$B$2,Aug!B78&gt;קריטריונים!$B$3),Aug!J78,"")</f>
        <v/>
      </c>
      <c r="S77" s="113" t="str">
        <f>IF(AND(ABS(Aug!F78)&gt;קריטריונים!$B$1,Aug!B78&gt;קריטריונים!$B$3),Aug!F78,"")</f>
        <v/>
      </c>
      <c r="T77" s="113" t="str">
        <f>IF(AND(ABS(Aug!E78)&gt;קריטריונים!$B$1,Aug!B78&gt;קריטריונים!$B$3),Aug!E78,"")</f>
        <v/>
      </c>
      <c r="U77" s="113" t="str">
        <f>IF(AND(ABS(Jul!K78)&gt;קריטריונים!$B$2,Jul!B78&gt;קריטריונים!$B$3),Jul!K78,"")</f>
        <v/>
      </c>
      <c r="V77" s="113" t="str">
        <f>IF(AND(ABS(Jul!J78)&gt;קריטריונים!$B$2,Jul!B78&gt;קריטריונים!$B$3),Jul!J78,"")</f>
        <v/>
      </c>
      <c r="W77" s="113" t="str">
        <f>IF(AND(ABS(Jul!F78)&gt;קריטריונים!$B$1,Jul!B78&gt;קריטריונים!$B$3),Jul!F78,"")</f>
        <v/>
      </c>
      <c r="X77" s="113" t="str">
        <f>IF(AND(ABS(Jul!E78)&gt;קריטריונים!$B$1,Jul!B78&gt;קריטריונים!$B$3),Jul!E78,"")</f>
        <v/>
      </c>
      <c r="Y77" s="113" t="str">
        <f>IF(AND(ABS(Jun!K78)&gt;קריטריונים!$B$2,Jun!B78&gt;קריטריונים!$B$3),Jun!K78,"")</f>
        <v/>
      </c>
      <c r="Z77" s="113" t="str">
        <f>IF(AND(ABS(Jun!J78)&gt;קריטריונים!$B$2,Jun!B78&gt;קריטריונים!$B$3),Jun!J78,"")</f>
        <v/>
      </c>
      <c r="AA77" s="113" t="str">
        <f>IF(AND(ABS(Jun!F78)&gt;קריטריונים!$B$1,Jun!B78&gt;קריטריונים!$B$3),Jun!F78,"")</f>
        <v/>
      </c>
      <c r="AB77" s="113" t="str">
        <f>IF(AND(ABS(Jun!E78)&gt;קריטריונים!$B$1,Jun!B78&gt;קריטריונים!$B$3),Jun!E78,"")</f>
        <v/>
      </c>
      <c r="AC77" s="113" t="str">
        <f>IF(AND(ABS(May!K78)&gt;קריטריונים!$B$2,May!B78&gt;קריטריונים!$B$3),May!K78,"")</f>
        <v/>
      </c>
      <c r="AD77" s="113" t="str">
        <f>IF(AND(ABS(May!J78)&gt;קריטריונים!$B$2,May!B78&gt;קריטריונים!$B$3),May!J78,"")</f>
        <v/>
      </c>
      <c r="AE77" s="113" t="str">
        <f>IF(AND(ABS(May!F78)&gt;קריטריונים!$B$1,May!B78&gt;קריטריונים!$B$3),May!F78,"")</f>
        <v/>
      </c>
      <c r="AF77" s="113" t="str">
        <f>IF(AND(ABS(May!E78)&gt;קריטריונים!$B$1,May!B78&gt;קריטריונים!$B$3),May!E78,"")</f>
        <v/>
      </c>
      <c r="AG77" s="113" t="str">
        <f>IF(AND(ABS(Apr!K78)&gt;קריטריונים!$B$2,Apr!B78&gt;קריטריונים!$B$3),Apr!K78,"")</f>
        <v/>
      </c>
      <c r="AH77" s="113" t="str">
        <f>IF(AND(ABS(Apr!J78)&gt;קריטריונים!$B$2,Apr!B78&gt;קריטריונים!$B$3),Apr!J78,"")</f>
        <v/>
      </c>
      <c r="AI77" s="113" t="str">
        <f>IF(AND(ABS(Apr!F78)&gt;קריטריונים!$B$1,Apr!B78&gt;קריטריונים!$B$3),Apr!F78,"")</f>
        <v/>
      </c>
      <c r="AJ77" s="113" t="str">
        <f>IF(AND(ABS(Apr!E78)&gt;קריטריונים!$B$1,Apr!B78&gt;קריטריונים!$B$3),Apr!E78,"")</f>
        <v/>
      </c>
      <c r="AK77" s="113" t="str">
        <f>IF(AND(ABS(Mar!K78)&gt;קריטריונים!$B$2,Mar!B78&gt;קריטריונים!$B$3),Mar!K78,"")</f>
        <v/>
      </c>
      <c r="AL77" s="113" t="str">
        <f>IF(AND(ABS(Mar!J78)&gt;קריטריונים!$B$2,Mar!B78&gt;קריטריונים!$B$3),Mar!J78,"")</f>
        <v/>
      </c>
      <c r="AM77" s="113" t="str">
        <f>IF(AND(ABS(Mar!F78)&gt;קריטריונים!$B$1,Mar!B78&gt;קריטריונים!$B$3),Mar!F78,"")</f>
        <v/>
      </c>
      <c r="AN77" s="113" t="str">
        <f>IF(AND(ABS(Mar!E78)&gt;קריטריונים!$B$1,Mar!B78&gt;קריטריונים!$B$3),Mar!E78,"")</f>
        <v/>
      </c>
      <c r="AO77" s="113" t="str">
        <f>IF(AND(ABS(Feb!K78)&gt;קריטריונים!$B$2,Feb!B78&gt;קריטריונים!$B$3),Feb!K78,"")</f>
        <v/>
      </c>
      <c r="AP77" s="113" t="str">
        <f>IF(AND(ABS(Feb!J78)&gt;קריטריונים!$B$2,Feb!B78&gt;קריטריונים!$B$3),Feb!J78,"")</f>
        <v/>
      </c>
      <c r="AQ77" s="113" t="str">
        <f>IF(AND(ABS(Feb!F78)&gt;קריטריונים!$B$1,Feb!B78&gt;קריטריונים!$B$3),Feb!F78,"")</f>
        <v/>
      </c>
      <c r="AR77" s="113" t="str">
        <f>IF(AND(ABS(Feb!G78)&gt;קריטריונים!$B$1,Feb!C78&gt;קריטריונים!$B$3),Feb!G78,"")</f>
        <v/>
      </c>
      <c r="AS77" s="113" t="str">
        <f>IF(AND(ABS(Feb!H78)&gt;קריטריונים!$B$1,Feb!D78&gt;קריטריונים!$B$3),Feb!H78,"")</f>
        <v/>
      </c>
      <c r="AT77" s="103" t="str">
        <f>IF(AND(ABS(Jan!E78)&gt;קריטריונים!$B$1,Jan!B78&gt;קריטריונים!$B$3),Jan!E78,"")</f>
        <v/>
      </c>
      <c r="AU77" s="118"/>
    </row>
    <row r="78" spans="1:47">
      <c r="A78" s="112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>
        <f>IF(AND(ABS(Feb!G79)&gt;קריטריונים!$B$1,Feb!C79&gt;קריטריונים!$B$3),Feb!G79,"")</f>
        <v>129.30000000000001</v>
      </c>
      <c r="AS78" s="113">
        <f>IF(AND(ABS(Feb!H79)&gt;קריטריונים!$B$1,Feb!D79&gt;קריטריונים!$B$3),Feb!H79,"")</f>
        <v>110.80099999999999</v>
      </c>
      <c r="AT78" s="103">
        <f>IF(AND(ABS(Jan!E79)&gt;קריטריונים!$B$1,Jan!B79&gt;קריטריונים!$B$3),Jan!E79,"")</f>
        <v>0.19194911562254968</v>
      </c>
      <c r="AU78" s="118" t="s">
        <v>65</v>
      </c>
    </row>
    <row r="79" spans="1:47">
      <c r="A79" s="112" t="str">
        <f>IF(AND(ABS(Dec!K80)&gt;קריטריונים!$B$2,Dec!B80&gt;קריטריונים!$B$3),Dec!K80,"")</f>
        <v/>
      </c>
      <c r="B79" s="113" t="str">
        <f>IF(AND(ABS(Dec!J80)&gt;קריטריונים!$B$2,Dec!B80&gt;קריטריונים!$B$3),Dec!J80,"")</f>
        <v/>
      </c>
      <c r="C79" s="113" t="str">
        <f>IF(AND(ABS(Dec!F80)&gt;קריטריונים!$B$1,Dec!B80&gt;קריטריונים!$B$3),Dec!F80,"")</f>
        <v/>
      </c>
      <c r="D79" s="113" t="str">
        <f>IF(AND(ABS(Dec!E80)&gt;קריטריונים!$B$1,Dec!B80&gt;קריטריונים!$B$3),Dec!E80,"")</f>
        <v/>
      </c>
      <c r="E79" s="113">
        <f>IF(AND(ABS(Nov!K80)&gt;קריטריונים!$B$2,Nov!B80&gt;קריטריונים!$B$3),Nov!K80,"")</f>
        <v>0.25501163540527672</v>
      </c>
      <c r="F79" s="113">
        <f>IF(AND(ABS(Nov!J80)&gt;קריטריונים!$B$2,Nov!B80&gt;קריטריונים!$B$3),Nov!J80,"")</f>
        <v>0.21121105885416935</v>
      </c>
      <c r="G79" s="113">
        <f>IF(AND(ABS(Nov!F80)&gt;קריטריונים!$B$1,Nov!B80&gt;קריטריונים!$B$3),Nov!F80,"")</f>
        <v>0.47909678290821511</v>
      </c>
      <c r="H79" s="113">
        <f>IF(AND(ABS(Nov!E80)&gt;קריטריונים!$B$1,Nov!B80&gt;קריטריונים!$B$3),Nov!E80,"")</f>
        <v>0.16704561602955814</v>
      </c>
      <c r="I79" s="113">
        <f>IF(AND(ABS(Oct!K80)&gt;קריטריונים!$B$2,Oct!B80&gt;קריטריונים!$B$3),Oct!K80,"")</f>
        <v>0.23609746642774487</v>
      </c>
      <c r="J79" s="113">
        <f>IF(AND(ABS(Oct!J80)&gt;קריטריונים!$B$2,Oct!B80&gt;קריטריונים!$B$3),Oct!J80,"")</f>
        <v>0.21585830624676428</v>
      </c>
      <c r="K79" s="113">
        <f>IF(AND(ABS(Oct!F80)&gt;קריטריונים!$B$1,Oct!B80&gt;קריטריונים!$B$3),Oct!F80,"")</f>
        <v>0.45997745208568208</v>
      </c>
      <c r="L79" s="113">
        <f>IF(AND(ABS(Oct!E80)&gt;קריטריונים!$B$1,Oct!B80&gt;קריטריונים!$B$3),Oct!E80,"")</f>
        <v>0.52901588051242698</v>
      </c>
      <c r="M79" s="113">
        <f>IF(AND(ABS(Sep!K80)&gt;קריטריונים!$B$2,Sep!B80&gt;קריטריונים!$B$3),Sep!K80,"")</f>
        <v>0.2109091754697876</v>
      </c>
      <c r="N79" s="113">
        <f>IF(AND(ABS(Sep!J80)&gt;קריטריונים!$B$2,Sep!B80&gt;קריטריונים!$B$3),Sep!J80,"")</f>
        <v>0.18299201149947542</v>
      </c>
      <c r="O79" s="113">
        <f>IF(AND(ABS(Sep!F80)&gt;קריטריונים!$B$1,Sep!B80&gt;קריטריונים!$B$3),Sep!F80,"")</f>
        <v>0.10679485231884378</v>
      </c>
      <c r="P79" s="113">
        <f>IF(AND(ABS(Sep!E80)&gt;קריטריונים!$B$1,Sep!B80&gt;קריטריונים!$B$3),Sep!E80,"")</f>
        <v>-7.4924588887806953E-3</v>
      </c>
      <c r="Q79" s="113">
        <f>IF(AND(ABS(Aug!K80)&gt;קריטריונים!$B$2,Aug!B80&gt;קריטריונים!$B$3),Aug!K80,"")</f>
        <v>0.22214571124758176</v>
      </c>
      <c r="R79" s="113">
        <f>IF(AND(ABS(Aug!J80)&gt;קריטריונים!$B$2,Aug!B80&gt;קריטריונים!$B$3),Aug!J80,"")</f>
        <v>0.20560706636384007</v>
      </c>
      <c r="S79" s="113">
        <f>IF(AND(ABS(Aug!F80)&gt;קריטריונים!$B$1,Aug!B80&gt;קריטריונים!$B$3),Aug!F80,"")</f>
        <v>0.12121687313783913</v>
      </c>
      <c r="T79" s="113">
        <f>IF(AND(ABS(Aug!E80)&gt;קריטריונים!$B$1,Aug!B80&gt;קריטריונים!$B$3),Aug!E80,"")</f>
        <v>0.33308473944252825</v>
      </c>
      <c r="U79" s="113">
        <f>IF(AND(ABS(Jul!K80)&gt;קריטריונים!$B$2,Jul!B80&gt;קריטריונים!$B$3),Jul!K80,"")</f>
        <v>8.8173433203577067E-2</v>
      </c>
      <c r="V79" s="113">
        <f>IF(AND(ABS(Jul!J80)&gt;קריטריונים!$B$2,Jul!B80&gt;קריטריונים!$B$3),Jul!J80,"")</f>
        <v>0.19157841822196797</v>
      </c>
      <c r="W79" s="113">
        <f>IF(AND(ABS(Jul!F80)&gt;קריטריונים!$B$1,Jul!B80&gt;קריטריונים!$B$3),Jul!F80,"")</f>
        <v>0.13853672356399183</v>
      </c>
      <c r="X79" s="113">
        <f>IF(AND(ABS(Jul!E80)&gt;קריטריונים!$B$1,Jul!B80&gt;קריטריונים!$B$3),Jul!E80,"")</f>
        <v>0.15018603319977086</v>
      </c>
      <c r="Y79" s="113">
        <f>IF(AND(ABS(Jun!K80)&gt;קריטריונים!$B$2,Jun!B80&gt;קריטריונים!$B$3),Jun!K80,"")</f>
        <v>0.2231229203396512</v>
      </c>
      <c r="Z79" s="113">
        <f>IF(AND(ABS(Jun!J80)&gt;קריטריונים!$B$2,Jun!B80&gt;קריטריונים!$B$3),Jun!J80,"")</f>
        <v>0.19850658235503693</v>
      </c>
      <c r="AA79" s="113">
        <f>IF(AND(ABS(Jun!F80)&gt;קריטריונים!$B$1,Jun!B80&gt;קריטריונים!$B$3),Jun!F80,"")</f>
        <v>0.28708209072359137</v>
      </c>
      <c r="AB79" s="113">
        <f>IF(AND(ABS(Jun!E80)&gt;קריטריונים!$B$1,Jun!B80&gt;קריטריונים!$B$3),Jun!E80,"")</f>
        <v>0.30393928442356355</v>
      </c>
      <c r="AC79" s="113">
        <f>IF(AND(ABS(May!K80)&gt;קריטריונים!$B$2,May!B80&gt;קריטריונים!$B$3),May!K80,"")</f>
        <v>0.24347885364161681</v>
      </c>
      <c r="AD79" s="113">
        <f>IF(AND(ABS(May!J80)&gt;קריטריונים!$B$2,May!B80&gt;קריטריונים!$B$3),May!J80,"")</f>
        <v>0.17096637766969769</v>
      </c>
      <c r="AE79" s="113">
        <f>IF(AND(ABS(May!F80)&gt;קריטריונים!$B$1,May!B80&gt;קריטריונים!$B$3),May!F80,"")</f>
        <v>0.28867223321588886</v>
      </c>
      <c r="AF79" s="113">
        <f>IF(AND(ABS(May!E80)&gt;קריטריונים!$B$1,May!B80&gt;קריטריונים!$B$3),May!E80,"")</f>
        <v>4.5528115699890348E-2</v>
      </c>
      <c r="AG79" s="113">
        <f>IF(AND(ABS(Apr!K80)&gt;קריטריונים!$B$2,Apr!B80&gt;קריטריונים!$B$3),Apr!K80,"")</f>
        <v>0.2284749818399352</v>
      </c>
      <c r="AH79" s="113">
        <f>IF(AND(ABS(Apr!J80)&gt;קריטריונים!$B$2,Apr!B80&gt;קריטריונים!$B$3),Apr!J80,"")</f>
        <v>0.22202622574543596</v>
      </c>
      <c r="AI79" s="113">
        <f>IF(AND(ABS(Apr!F80)&gt;קריטריונים!$B$1,Apr!B80&gt;קריטריונים!$B$3),Apr!F80,"")</f>
        <v>0.23091722037159079</v>
      </c>
      <c r="AJ79" s="113">
        <f>IF(AND(ABS(Apr!E80)&gt;קריטריונים!$B$1,Apr!B80&gt;קריטריונים!$B$3),Apr!E80,"")</f>
        <v>0.42450729776531682</v>
      </c>
      <c r="AK79" s="113">
        <f>IF(AND(ABS(Mar!K80)&gt;קריטריונים!$B$2,Mar!B80&gt;קריטריונים!$B$3),Mar!K80,"")</f>
        <v>0.22742911196381055</v>
      </c>
      <c r="AL79" s="113">
        <f>IF(AND(ABS(Mar!J80)&gt;קריטריונים!$B$2,Mar!B80&gt;קריטריונים!$B$3),Mar!J80,"")</f>
        <v>0.15172078107999765</v>
      </c>
      <c r="AM79" s="113">
        <f>IF(AND(ABS(Mar!F80)&gt;קריטריונים!$B$1,Mar!B80&gt;קריטריונים!$B$3),Mar!F80,"")</f>
        <v>0.23005060334760596</v>
      </c>
      <c r="AN79" s="113">
        <f>IF(AND(ABS(Mar!E80)&gt;קריטריונים!$B$1,Mar!B80&gt;קריטריונים!$B$3),Mar!E80,"")</f>
        <v>0.16889842420655476</v>
      </c>
      <c r="AO79" s="113">
        <f>IF(AND(ABS(Feb!K80)&gt;קריטריונים!$B$2,Feb!B80&gt;קריטריונים!$B$3),Feb!K80,"")</f>
        <v>0.22573927007665584</v>
      </c>
      <c r="AP79" s="113">
        <f>IF(AND(ABS(Feb!J80)&gt;קריטריונים!$B$2,Feb!B80&gt;קריטריונים!$B$3),Feb!J80,"")</f>
        <v>0.14087533280396114</v>
      </c>
      <c r="AQ79" s="113">
        <f>IF(AND(ABS(Feb!F80)&gt;קריטריונים!$B$1,Feb!B80&gt;קריטריונים!$B$3),Feb!F80,"")</f>
        <v>0.19127777490029541</v>
      </c>
      <c r="AR79" s="113">
        <f>IF(AND(ABS(Feb!G80)&gt;קריטריונים!$B$1,Feb!C80&gt;קריטריונים!$B$3),Feb!G80,"")</f>
        <v>97.7</v>
      </c>
      <c r="AS79" s="113">
        <f>IF(AND(ABS(Feb!H80)&gt;קריטריונים!$B$1,Feb!D80&gt;קריטריונים!$B$3),Feb!H80,"")</f>
        <v>85.635999999999996</v>
      </c>
      <c r="AT79" s="103">
        <f>IF(AND(ABS(Jan!E80)&gt;קריטריונים!$B$1,Jan!B80&gt;קריטריונים!$B$3),Jan!E80,"")</f>
        <v>0.16472920609173669</v>
      </c>
      <c r="AU79" s="118" t="s">
        <v>66</v>
      </c>
    </row>
    <row r="80" spans="1:47">
      <c r="A80" s="112" t="str">
        <f>IF(AND(ABS(Dec!K81)&gt;קריטריונים!$B$2,Dec!B81&gt;קריטריונים!$B$3),Dec!K81,"")</f>
        <v/>
      </c>
      <c r="B80" s="113" t="str">
        <f>IF(AND(ABS(Dec!J81)&gt;קריטריונים!$B$2,Dec!B81&gt;קריטריונים!$B$3),Dec!J81,"")</f>
        <v/>
      </c>
      <c r="C80" s="113" t="str">
        <f>IF(AND(ABS(Dec!F81)&gt;קריטריונים!$B$1,Dec!B81&gt;קריטריונים!$B$3),Dec!F81,"")</f>
        <v/>
      </c>
      <c r="D80" s="113" t="str">
        <f>IF(AND(ABS(Dec!E81)&gt;קריטריונים!$B$1,Dec!B81&gt;קריטריונים!$B$3),Dec!E81,"")</f>
        <v/>
      </c>
      <c r="E80" s="113">
        <f>IF(AND(ABS(Nov!K81)&gt;קריטריונים!$B$2,Nov!B81&gt;קריטריונים!$B$3),Nov!K81,"")</f>
        <v>0.26331351006282944</v>
      </c>
      <c r="F80" s="113">
        <f>IF(AND(ABS(Nov!J81)&gt;קריטריונים!$B$2,Nov!B81&gt;קריטריונים!$B$3),Nov!J81,"")</f>
        <v>0.2671452161898018</v>
      </c>
      <c r="G80" s="113">
        <f>IF(AND(ABS(Nov!F81)&gt;קריטריונים!$B$1,Nov!B81&gt;קריטריונים!$B$3),Nov!F81,"")</f>
        <v>0.46935348446683456</v>
      </c>
      <c r="H80" s="113">
        <f>IF(AND(ABS(Nov!E81)&gt;קריטריונים!$B$1,Nov!B81&gt;קריטריונים!$B$3),Nov!E81,"")</f>
        <v>8.0580426057425214E-2</v>
      </c>
      <c r="I80" s="113">
        <f>IF(AND(ABS(Oct!K81)&gt;קריטריונים!$B$2,Oct!B81&gt;קריטריונים!$B$3),Oct!K81,"")</f>
        <v>0.24538913845367194</v>
      </c>
      <c r="J80" s="113">
        <f>IF(AND(ABS(Oct!J81)&gt;קריטריונים!$B$2,Oct!B81&gt;קריטריונים!$B$3),Oct!J81,"")</f>
        <v>0.29000529620942705</v>
      </c>
      <c r="K80" s="113">
        <f>IF(AND(ABS(Oct!F81)&gt;קריטריונים!$B$1,Oct!B81&gt;קריטריונים!$B$3),Oct!F81,"")</f>
        <v>0.47699004975124359</v>
      </c>
      <c r="L80" s="113">
        <f>IF(AND(ABS(Oct!E81)&gt;קריטריונים!$B$1,Oct!B81&gt;קריטריונים!$B$3),Oct!E81,"")</f>
        <v>0.62615542622389597</v>
      </c>
      <c r="M80" s="113">
        <f>IF(AND(ABS(Sep!K81)&gt;קריטריונים!$B$2,Sep!B81&gt;קריטריונים!$B$3),Sep!K81,"")</f>
        <v>0.21456652182909153</v>
      </c>
      <c r="N80" s="113">
        <f>IF(AND(ABS(Sep!J81)&gt;קריטריונים!$B$2,Sep!B81&gt;קריטריונים!$B$3),Sep!J81,"")</f>
        <v>0.24824565134181076</v>
      </c>
      <c r="O80" s="113">
        <f>IF(AND(ABS(Sep!F81)&gt;קריטריונים!$B$1,Sep!B81&gt;קריטריונים!$B$3),Sep!F81,"")</f>
        <v>0.24393843558928952</v>
      </c>
      <c r="P80" s="113">
        <f>IF(AND(ABS(Sep!E81)&gt;קריטריונים!$B$1,Sep!B81&gt;קריטריונים!$B$3),Sep!E81,"")</f>
        <v>0.15731659474303661</v>
      </c>
      <c r="Q80" s="113">
        <f>IF(AND(ABS(Aug!K81)&gt;קריטריונים!$B$2,Aug!B81&gt;קריטריונים!$B$3),Aug!K81,"")</f>
        <v>0.21137036272283005</v>
      </c>
      <c r="R80" s="113">
        <f>IF(AND(ABS(Aug!J81)&gt;קריטריונים!$B$2,Aug!B81&gt;קריטריונים!$B$3),Aug!J81,"")</f>
        <v>0.25930165998855159</v>
      </c>
      <c r="S80" s="113">
        <f>IF(AND(ABS(Aug!F81)&gt;קריטריונים!$B$1,Aug!B81&gt;קריטריונים!$B$3),Aug!F81,"")</f>
        <v>0.1117287381878822</v>
      </c>
      <c r="T80" s="113">
        <f>IF(AND(ABS(Aug!E81)&gt;קריטריונים!$B$1,Aug!B81&gt;קריטריונים!$B$3),Aug!E81,"")</f>
        <v>0.38089758342922897</v>
      </c>
      <c r="U80" s="113">
        <f>IF(AND(ABS(Jul!K81)&gt;קריטריונים!$B$2,Jul!B81&gt;קריטריונים!$B$3),Jul!K81,"")</f>
        <v>7.3714639686144778E-2</v>
      </c>
      <c r="V80" s="113">
        <f>IF(AND(ABS(Jul!J81)&gt;קריטריונים!$B$2,Jul!B81&gt;קריטריונים!$B$3),Jul!J81,"")</f>
        <v>0.24524386025596656</v>
      </c>
      <c r="W80" s="113">
        <f>IF(AND(ABS(Jul!F81)&gt;קריטריונים!$B$1,Jul!B81&gt;קריטריונים!$B$3),Jul!F81,"")</f>
        <v>0.29351644841903557</v>
      </c>
      <c r="X80" s="113">
        <f>IF(AND(ABS(Jul!E81)&gt;קריטריונים!$B$1,Jul!B81&gt;קריטריונים!$B$3),Jul!E81,"")</f>
        <v>0.41114982578397208</v>
      </c>
      <c r="Y80" s="113">
        <f>IF(AND(ABS(Jun!K81)&gt;קריטריונים!$B$2,Jun!B81&gt;קריטריונים!$B$3),Jun!K81,"")</f>
        <v>0.16904301594973403</v>
      </c>
      <c r="Z80" s="113">
        <f>IF(AND(ABS(Jun!J81)&gt;קריטריונים!$B$2,Jun!B81&gt;קריטריונים!$B$3),Jun!J81,"")</f>
        <v>0.21533775084005868</v>
      </c>
      <c r="AA80" s="113">
        <f>IF(AND(ABS(Jun!F81)&gt;קריטריונים!$B$1,Jun!B81&gt;קריטריונים!$B$3),Jun!F81,"")</f>
        <v>0.15713566996478279</v>
      </c>
      <c r="AB80" s="113">
        <f>IF(AND(ABS(Jun!E81)&gt;קריטריונים!$B$1,Jun!B81&gt;קריטריונים!$B$3),Jun!E81,"")</f>
        <v>0.27001656543346231</v>
      </c>
      <c r="AC80" s="113">
        <f>IF(AND(ABS(May!K81)&gt;קריטריונים!$B$2,May!B81&gt;קריטריונים!$B$3),May!K81,"")</f>
        <v>0.22472559214326959</v>
      </c>
      <c r="AD80" s="113">
        <f>IF(AND(ABS(May!J81)&gt;קריטריונים!$B$2,May!B81&gt;קריטריונים!$B$3),May!J81,"")</f>
        <v>0.20408936009087442</v>
      </c>
      <c r="AE80" s="113">
        <f>IF(AND(ABS(May!F81)&gt;קריטריונים!$B$1,May!B81&gt;קריטריונים!$B$3),May!F81,"")</f>
        <v>0.37062162536342247</v>
      </c>
      <c r="AF80" s="113">
        <f>IF(AND(ABS(May!E81)&gt;קריטריונים!$B$1,May!B81&gt;קריטריונים!$B$3),May!E81,"")</f>
        <v>0.19018994950709311</v>
      </c>
      <c r="AG80" s="113">
        <f>IF(AND(ABS(Apr!K81)&gt;קריטריונים!$B$2,Apr!B81&gt;קריטריונים!$B$3),Apr!K81,"")</f>
        <v>0.16849855938533764</v>
      </c>
      <c r="AH80" s="113">
        <f>IF(AND(ABS(Apr!J81)&gt;קריטריונים!$B$2,Apr!B81&gt;קריטריונים!$B$3),Apr!J81,"")</f>
        <v>0.21047977006411656</v>
      </c>
      <c r="AI80" s="113">
        <f>IF(AND(ABS(Apr!F81)&gt;קריטריונים!$B$1,Apr!B81&gt;קריטריונים!$B$3),Apr!F81,"")</f>
        <v>0.1802748585286984</v>
      </c>
      <c r="AJ80" s="113">
        <f>IF(AND(ABS(Apr!E81)&gt;קריטריונים!$B$1,Apr!B81&gt;קריטריונים!$B$3),Apr!E81,"")</f>
        <v>0.41692546583850931</v>
      </c>
      <c r="AK80" s="113">
        <f>IF(AND(ABS(Mar!K81)&gt;קריטריונים!$B$2,Mar!B81&gt;קריטריונים!$B$3),Mar!K81,"")</f>
        <v>0.16269809667914314</v>
      </c>
      <c r="AL80" s="113">
        <f>IF(AND(ABS(Mar!J81)&gt;קריטריונים!$B$2,Mar!B81&gt;קריטריונים!$B$3),Mar!J81,"")</f>
        <v>0.12828438948995347</v>
      </c>
      <c r="AM80" s="113">
        <f>IF(AND(ABS(Mar!F81)&gt;קריטריונים!$B$1,Mar!B81&gt;קריטריונים!$B$3),Mar!F81,"")</f>
        <v>0.15336096593980897</v>
      </c>
      <c r="AN80" s="113">
        <f>IF(AND(ABS(Mar!E81)&gt;קריטריונים!$B$1,Mar!B81&gt;קריטריונים!$B$3),Mar!E81,"")</f>
        <v>0.1782032400589102</v>
      </c>
      <c r="AO80" s="113">
        <f>IF(AND(ABS(Feb!K81)&gt;קריטריונים!$B$2,Feb!B81&gt;קריטריונים!$B$3),Feb!K81,"")</f>
        <v>0.17009132420091322</v>
      </c>
      <c r="AP80" s="113">
        <f>IF(AND(ABS(Feb!J81)&gt;קריטריונים!$B$2,Feb!B81&gt;קריטריונים!$B$3),Feb!J81,"")</f>
        <v>9.2168353755993415E-2</v>
      </c>
      <c r="AQ80" s="113">
        <f>IF(AND(ABS(Feb!F81)&gt;קריטריונים!$B$1,Feb!B81&gt;קריטריונים!$B$3),Feb!F81,"")</f>
        <v>0.11168562564632878</v>
      </c>
      <c r="AR80" s="113">
        <f>IF(AND(ABS(Feb!G81)&gt;קריטריונים!$B$1,Feb!C81&gt;קריטריונים!$B$3),Feb!G81,"")</f>
        <v>8.1999999999999993</v>
      </c>
      <c r="AS80" s="113">
        <f>IF(AND(ABS(Feb!H81)&gt;קריטריונים!$B$1,Feb!D81&gt;קריטריונים!$B$3),Feb!H81,"")</f>
        <v>7.508</v>
      </c>
      <c r="AT80" s="103">
        <f>IF(AND(ABS(Jan!E81)&gt;קריטריונים!$B$1,Jan!B81&gt;קריטריונים!$B$3),Jan!E81,"")</f>
        <v>0.14302461899179364</v>
      </c>
      <c r="AU80" s="118" t="s">
        <v>67</v>
      </c>
    </row>
    <row r="81" spans="1:47">
      <c r="A81" s="112" t="str">
        <f>IF(AND(ABS(Dec!K82)&gt;קריטריונים!$B$2,Dec!B82&gt;קריטריונים!$B$3),Dec!K82,"")</f>
        <v/>
      </c>
      <c r="B81" s="113" t="str">
        <f>IF(AND(ABS(Dec!J82)&gt;קריטריונים!$B$2,Dec!B82&gt;קריטריונים!$B$3),Dec!J82,"")</f>
        <v/>
      </c>
      <c r="C81" s="113" t="str">
        <f>IF(AND(ABS(Dec!F82)&gt;קריטריונים!$B$1,Dec!B82&gt;קריטריונים!$B$3),Dec!F82,"")</f>
        <v/>
      </c>
      <c r="D81" s="113" t="str">
        <f>IF(AND(ABS(Dec!E82)&gt;קריטריונים!$B$1,Dec!B82&gt;קריטריונים!$B$3),Dec!E82,"")</f>
        <v/>
      </c>
      <c r="E81" s="113">
        <f>IF(AND(ABS(Nov!K82)&gt;קריטריונים!$B$2,Nov!B82&gt;קריטריונים!$B$3),Nov!K82,"")</f>
        <v>0.22314049586776852</v>
      </c>
      <c r="F81" s="113">
        <f>IF(AND(ABS(Nov!J82)&gt;קריטריונים!$B$2,Nov!B82&gt;קריטריונים!$B$3),Nov!J82,"")</f>
        <v>0.35979419331128271</v>
      </c>
      <c r="G81" s="113">
        <f>IF(AND(ABS(Nov!F82)&gt;קריטריונים!$B$1,Nov!B82&gt;קריטריונים!$B$3),Nov!F82,"")</f>
        <v>0.82440136830102628</v>
      </c>
      <c r="H81" s="113">
        <f>IF(AND(ABS(Nov!E82)&gt;קריטריונים!$B$1,Nov!B82&gt;קריטריונים!$B$3),Nov!E82,"")</f>
        <v>0.41405214317277972</v>
      </c>
      <c r="I81" s="113">
        <f>IF(AND(ABS(Oct!K82)&gt;קריטריונים!$B$2,Oct!B82&gt;קריטריונים!$B$3),Oct!K82,"")</f>
        <v>0.16883785592914879</v>
      </c>
      <c r="J81" s="113">
        <f>IF(AND(ABS(Oct!J82)&gt;קריטריונים!$B$2,Oct!B82&gt;קריטריונים!$B$3),Oct!J82,"")</f>
        <v>0.35247855100095338</v>
      </c>
      <c r="K81" s="113">
        <f>IF(AND(ABS(Oct!F82)&gt;קריטריונים!$B$1,Oct!B82&gt;קריטריונים!$B$3),Oct!F82,"")</f>
        <v>3.3344448149374983E-4</v>
      </c>
      <c r="L81" s="113">
        <f>IF(AND(ABS(Oct!E82)&gt;קריטריונים!$B$1,Oct!B82&gt;קריטריונים!$B$3),Oct!E82,"")</f>
        <v>0.80505415162454885</v>
      </c>
      <c r="M81" s="113">
        <f>IF(AND(ABS(Sep!K82)&gt;קריטריונים!$B$2,Sep!B82&gt;קריטריונים!$B$3),Sep!K82,"")</f>
        <v>0.19961027889416627</v>
      </c>
      <c r="N81" s="113">
        <f>IF(AND(ABS(Sep!J82)&gt;קריטריונים!$B$2,Sep!B82&gt;קריטריונים!$B$3),Sep!J82,"")</f>
        <v>0.3027377331040868</v>
      </c>
      <c r="O81" s="113">
        <f>IF(AND(ABS(Sep!F82)&gt;קריטריונים!$B$1,Sep!B82&gt;קריטריונים!$B$3),Sep!F82,"")</f>
        <v>0.28205128205128216</v>
      </c>
      <c r="P81" s="113">
        <f>IF(AND(ABS(Sep!E82)&gt;קריטריונים!$B$1,Sep!B82&gt;קריטריונים!$B$3),Sep!E82,"")</f>
        <v>7.0205479452054798E-2</v>
      </c>
      <c r="Q81" s="113">
        <f>IF(AND(ABS(Aug!K82)&gt;קריטריונים!$B$2,Aug!B82&gt;קריטריונים!$B$3),Aug!K82,"")</f>
        <v>0.18850193477059141</v>
      </c>
      <c r="R81" s="113">
        <f>IF(AND(ABS(Aug!J82)&gt;קריטריונים!$B$2,Aug!B82&gt;קריטריונים!$B$3),Aug!J82,"")</f>
        <v>0.34522133583607073</v>
      </c>
      <c r="S81" s="113">
        <f>IF(AND(ABS(Aug!F82)&gt;קריטריונים!$B$1,Aug!B82&gt;קריטריונים!$B$3),Aug!F82,"")</f>
        <v>0.20329322355921464</v>
      </c>
      <c r="T81" s="113">
        <f>IF(AND(ABS(Aug!E82)&gt;קריטריונים!$B$1,Aug!B82&gt;קריטריונים!$B$3),Aug!E82,"")</f>
        <v>0.34465675866949752</v>
      </c>
      <c r="U81" s="113">
        <f>IF(AND(ABS(Jul!K82)&gt;קריטריונים!$B$2,Jul!B82&gt;קריטריונים!$B$3),Jul!K82,"")</f>
        <v>5.7213930348258613E-2</v>
      </c>
      <c r="V81" s="113">
        <f>IF(AND(ABS(Jul!J82)&gt;קריטריונים!$B$2,Jul!B82&gt;קריטריונים!$B$3),Jul!J82,"")</f>
        <v>0.34529147982062769</v>
      </c>
      <c r="W81" s="113">
        <f>IF(AND(ABS(Jul!F82)&gt;קריטריונים!$B$1,Jul!B82&gt;קריטריונים!$B$3),Jul!F82,"")</f>
        <v>0.22103944896681282</v>
      </c>
      <c r="X81" s="113">
        <f>IF(AND(ABS(Jul!E82)&gt;קריטריונים!$B$1,Jul!B82&gt;קריטריונים!$B$3),Jul!E82,"")</f>
        <v>0.44873699851411586</v>
      </c>
      <c r="Y81" s="113">
        <f>IF(AND(ABS(Jun!K82)&gt;קריטריונים!$B$2,Jun!B82&gt;קריטריונים!$B$3),Jun!K82,"")</f>
        <v>0.13954418232706911</v>
      </c>
      <c r="Z81" s="113">
        <f>IF(AND(ABS(Jun!J82)&gt;קריטריונים!$B$2,Jun!B82&gt;קריטריונים!$B$3),Jun!J82,"")</f>
        <v>0.31321276350650851</v>
      </c>
      <c r="AA81" s="113">
        <f>IF(AND(ABS(Jun!F82)&gt;קריטריונים!$B$1,Jun!B82&gt;קריטריונים!$B$3),Jun!F82,"")</f>
        <v>0.37755102040816335</v>
      </c>
      <c r="AB81" s="113">
        <f>IF(AND(ABS(Jun!E82)&gt;קריטריונים!$B$1,Jun!B82&gt;קריטריונים!$B$3),Jun!E82,"")</f>
        <v>0.5323496027241772</v>
      </c>
      <c r="AC81" s="113">
        <f>IF(AND(ABS(May!K82)&gt;קריטריונים!$B$2,May!B82&gt;קריטריונים!$B$3),May!K82,"")</f>
        <v>0.12417625016151956</v>
      </c>
      <c r="AD81" s="113">
        <f>IF(AND(ABS(May!J82)&gt;קריטריונים!$B$2,May!B82&gt;קריטריונים!$B$3),May!J82,"")</f>
        <v>0.25740713976008101</v>
      </c>
      <c r="AE81" s="113">
        <f>IF(AND(ABS(May!F82)&gt;קריטריונים!$B$1,May!B82&gt;קריטריונים!$B$3),May!F82,"")</f>
        <v>0.38721351025331718</v>
      </c>
      <c r="AF81" s="113">
        <f>IF(AND(ABS(May!E82)&gt;קריטריונים!$B$1,May!B82&gt;קריטריונים!$B$3),May!E82,"")</f>
        <v>0.19604784191367641</v>
      </c>
      <c r="AG81" s="113">
        <f>IF(AND(ABS(Apr!K82)&gt;קריטריונים!$B$2,Apr!B82&gt;קריטריונים!$B$3),Apr!K82,"")</f>
        <v>5.2458477224140987E-2</v>
      </c>
      <c r="AH81" s="113">
        <f>IF(AND(ABS(Apr!J82)&gt;קריטריונים!$B$2,Apr!B82&gt;קריטריונים!$B$3),Apr!J82,"")</f>
        <v>0.2810248198558849</v>
      </c>
      <c r="AI81" s="113">
        <f>IF(AND(ABS(Apr!F82)&gt;קריטריונים!$B$1,Apr!B82&gt;קריטריונים!$B$3),Apr!F82,"")</f>
        <v>0.10149488591660116</v>
      </c>
      <c r="AJ81" s="113">
        <f>IF(AND(ABS(Apr!E82)&gt;קריטריונים!$B$1,Apr!B82&gt;קריטריונים!$B$3),Apr!E82,"")</f>
        <v>1.7370478983382212</v>
      </c>
      <c r="AK81" s="113" t="str">
        <f>IF(AND(ABS(Mar!K82)&gt;קריטריונים!$B$2,Mar!B82&gt;קריטריונים!$B$3),Mar!K82,"")</f>
        <v/>
      </c>
      <c r="AL81" s="113" t="str">
        <f>IF(AND(ABS(Mar!J82)&gt;קריטריונים!$B$2,Mar!B82&gt;קריטריונים!$B$3),Mar!J82,"")</f>
        <v/>
      </c>
      <c r="AM81" s="113" t="str">
        <f>IF(AND(ABS(Mar!F82)&gt;קריטריונים!$B$1,Mar!B82&gt;קריטריונים!$B$3),Mar!F82,"")</f>
        <v/>
      </c>
      <c r="AN81" s="113" t="str">
        <f>IF(AND(ABS(Mar!E82)&gt;קריטריונים!$B$1,Mar!B82&gt;קריטריונים!$B$3),Mar!E82,"")</f>
        <v/>
      </c>
      <c r="AO81" s="113" t="str">
        <f>IF(AND(ABS(Feb!K82)&gt;קריטריונים!$B$2,Feb!B82&gt;קריטריונים!$B$3),Feb!K82,"")</f>
        <v/>
      </c>
      <c r="AP81" s="113" t="str">
        <f>IF(AND(ABS(Feb!J82)&gt;קריטריונים!$B$2,Feb!B82&gt;קריטריונים!$B$3),Feb!J82,"")</f>
        <v/>
      </c>
      <c r="AQ81" s="113" t="str">
        <f>IF(AND(ABS(Feb!F82)&gt;קריטריונים!$B$1,Feb!B82&gt;קריטריונים!$B$3),Feb!F82,"")</f>
        <v/>
      </c>
      <c r="AR81" s="113" t="str">
        <f>IF(AND(ABS(Feb!G82)&gt;קריטריונים!$B$1,Feb!C82&gt;קריטריונים!$B$3),Feb!G82,"")</f>
        <v/>
      </c>
      <c r="AS81" s="113" t="str">
        <f>IF(AND(ABS(Feb!H82)&gt;קריטריונים!$B$1,Feb!D82&gt;קריטריונים!$B$3),Feb!H82,"")</f>
        <v/>
      </c>
      <c r="AT81" s="103" t="str">
        <f>IF(AND(ABS(Jan!E82)&gt;קריטריונים!$B$1,Jan!B82&gt;קריטריונים!$B$3),Jan!E82,"")</f>
        <v/>
      </c>
      <c r="AU81" s="118" t="s">
        <v>68</v>
      </c>
    </row>
    <row r="82" spans="1:47">
      <c r="A82" s="112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>
        <f>IF(AND(ABS(Feb!G83)&gt;קריטריונים!$B$1,Feb!C83&gt;קריטריונים!$B$3),Feb!G83,"")</f>
        <v>21.3</v>
      </c>
      <c r="AS82" s="113">
        <f>IF(AND(ABS(Feb!H83)&gt;קריטריונים!$B$1,Feb!D83&gt;קריטריונים!$B$3),Feb!H83,"")</f>
        <v>15.632000000000001</v>
      </c>
      <c r="AT82" s="103">
        <f>IF(AND(ABS(Jan!E83)&gt;קריטריונים!$B$1,Jan!B83&gt;קריטריונים!$B$3),Jan!E83,"")</f>
        <v>0.3806013806013806</v>
      </c>
      <c r="AU82" s="118" t="s">
        <v>69</v>
      </c>
    </row>
    <row r="83" spans="1:47">
      <c r="A83" s="112" t="str">
        <f>IF(AND(ABS(Dec!K84)&gt;קריטריונים!$B$2,Dec!B84&gt;קריטריונים!$B$3),Dec!K84,"")</f>
        <v/>
      </c>
      <c r="B83" s="113" t="str">
        <f>IF(AND(ABS(Dec!J84)&gt;קריטריונים!$B$2,Dec!B84&gt;קריטריונים!$B$3),Dec!J84,"")</f>
        <v/>
      </c>
      <c r="C83" s="113" t="str">
        <f>IF(AND(ABS(Dec!F84)&gt;קריטריונים!$B$1,Dec!B84&gt;קריטריונים!$B$3),Dec!F84,"")</f>
        <v/>
      </c>
      <c r="D83" s="113" t="str">
        <f>IF(AND(ABS(Dec!E84)&gt;קריטריונים!$B$1,Dec!B84&gt;קריטריונים!$B$3),Dec!E84,"")</f>
        <v/>
      </c>
      <c r="E83" s="113" t="str">
        <f>IF(AND(ABS(Nov!K84)&gt;קריטריונים!$B$2,Nov!B84&gt;קריטריונים!$B$3),Nov!K84,"")</f>
        <v/>
      </c>
      <c r="F83" s="113" t="str">
        <f>IF(AND(ABS(Nov!J84)&gt;קריטריונים!$B$2,Nov!B84&gt;קריטריונים!$B$3),Nov!J84,"")</f>
        <v/>
      </c>
      <c r="G83" s="113" t="str">
        <f>IF(AND(ABS(Nov!F84)&gt;קריטריונים!$B$1,Nov!B84&gt;קריטריונים!$B$3),Nov!F84,"")</f>
        <v/>
      </c>
      <c r="H83" s="113" t="str">
        <f>IF(AND(ABS(Nov!E84)&gt;קריטריונים!$B$1,Nov!B84&gt;קריטריונים!$B$3),Nov!E84,"")</f>
        <v/>
      </c>
      <c r="I83" s="113" t="str">
        <f>IF(AND(ABS(Oct!K84)&gt;קריטריונים!$B$2,Oct!B84&gt;קריטריונים!$B$3),Oct!K84,"")</f>
        <v/>
      </c>
      <c r="J83" s="113" t="str">
        <f>IF(AND(ABS(Oct!J84)&gt;קריטריונים!$B$2,Oct!B84&gt;קריטריונים!$B$3),Oct!J84,"")</f>
        <v/>
      </c>
      <c r="K83" s="113" t="str">
        <f>IF(AND(ABS(Oct!F84)&gt;קריטריונים!$B$1,Oct!B84&gt;קריטריונים!$B$3),Oct!F84,"")</f>
        <v/>
      </c>
      <c r="L83" s="113" t="str">
        <f>IF(AND(ABS(Oct!E84)&gt;קריטריונים!$B$1,Oct!B84&gt;קריטריונים!$B$3),Oct!E84,"")</f>
        <v/>
      </c>
      <c r="M83" s="113" t="str">
        <f>IF(AND(ABS(Sep!K84)&gt;קריטריונים!$B$2,Sep!B84&gt;קריטריונים!$B$3),Sep!K84,"")</f>
        <v/>
      </c>
      <c r="N83" s="113" t="str">
        <f>IF(AND(ABS(Sep!J84)&gt;קריטריונים!$B$2,Sep!B84&gt;קריטריונים!$B$3),Sep!J84,"")</f>
        <v/>
      </c>
      <c r="O83" s="113" t="str">
        <f>IF(AND(ABS(Sep!F84)&gt;קריטריונים!$B$1,Sep!B84&gt;קריטריונים!$B$3),Sep!F84,"")</f>
        <v/>
      </c>
      <c r="P83" s="113" t="str">
        <f>IF(AND(ABS(Sep!E84)&gt;קריטריונים!$B$1,Sep!B84&gt;קריטריונים!$B$3),Sep!E84,"")</f>
        <v/>
      </c>
      <c r="Q83" s="113" t="str">
        <f>IF(AND(ABS(Aug!K84)&gt;קריטריונים!$B$2,Aug!B84&gt;קריטריונים!$B$3),Aug!K84,"")</f>
        <v/>
      </c>
      <c r="R83" s="113" t="str">
        <f>IF(AND(ABS(Aug!J84)&gt;קריטריונים!$B$2,Aug!B84&gt;קריטריונים!$B$3),Aug!J84,"")</f>
        <v/>
      </c>
      <c r="S83" s="113" t="str">
        <f>IF(AND(ABS(Aug!F84)&gt;קריטריונים!$B$1,Aug!B84&gt;קריטריונים!$B$3),Aug!F84,"")</f>
        <v/>
      </c>
      <c r="T83" s="113" t="str">
        <f>IF(AND(ABS(Aug!E84)&gt;קריטריונים!$B$1,Aug!B84&gt;קריטריונים!$B$3),Aug!E84,"")</f>
        <v/>
      </c>
      <c r="U83" s="113" t="str">
        <f>IF(AND(ABS(Jul!K84)&gt;קריטריונים!$B$2,Jul!B84&gt;קריטריונים!$B$3),Jul!K84,"")</f>
        <v/>
      </c>
      <c r="V83" s="113" t="str">
        <f>IF(AND(ABS(Jul!J84)&gt;קריטריונים!$B$2,Jul!B84&gt;קריטריונים!$B$3),Jul!J84,"")</f>
        <v/>
      </c>
      <c r="W83" s="113" t="str">
        <f>IF(AND(ABS(Jul!F84)&gt;קריטריונים!$B$1,Jul!B84&gt;קריטריונים!$B$3),Jul!F84,"")</f>
        <v/>
      </c>
      <c r="X83" s="113" t="str">
        <f>IF(AND(ABS(Jul!E84)&gt;קריטריונים!$B$1,Jul!B84&gt;קריטריונים!$B$3),Jul!E84,"")</f>
        <v/>
      </c>
      <c r="Y83" s="113" t="str">
        <f>IF(AND(ABS(Jun!K84)&gt;קריטריונים!$B$2,Jun!B84&gt;קריטריונים!$B$3),Jun!K84,"")</f>
        <v/>
      </c>
      <c r="Z83" s="113" t="str">
        <f>IF(AND(ABS(Jun!J84)&gt;קריטריונים!$B$2,Jun!B84&gt;קריטריונים!$B$3),Jun!J84,"")</f>
        <v/>
      </c>
      <c r="AA83" s="113" t="str">
        <f>IF(AND(ABS(Jun!F84)&gt;קריטריונים!$B$1,Jun!B84&gt;קריטריונים!$B$3),Jun!F84,"")</f>
        <v/>
      </c>
      <c r="AB83" s="113" t="str">
        <f>IF(AND(ABS(Jun!E84)&gt;קריטריונים!$B$1,Jun!B84&gt;קריטריונים!$B$3),Jun!E84,"")</f>
        <v/>
      </c>
      <c r="AC83" s="113" t="str">
        <f>IF(AND(ABS(May!K84)&gt;קריטריונים!$B$2,May!B84&gt;קריטריונים!$B$3),May!K84,"")</f>
        <v/>
      </c>
      <c r="AD83" s="113" t="str">
        <f>IF(AND(ABS(May!J84)&gt;קריטריונים!$B$2,May!B84&gt;קריטריונים!$B$3),May!J84,"")</f>
        <v/>
      </c>
      <c r="AE83" s="113" t="str">
        <f>IF(AND(ABS(May!F84)&gt;קריטריונים!$B$1,May!B84&gt;קריטריונים!$B$3),May!F84,"")</f>
        <v/>
      </c>
      <c r="AF83" s="113" t="str">
        <f>IF(AND(ABS(May!E84)&gt;קריטריונים!$B$1,May!B84&gt;קריטריונים!$B$3),May!E84,"")</f>
        <v/>
      </c>
      <c r="AG83" s="113" t="str">
        <f>IF(AND(ABS(Apr!K84)&gt;קריטריונים!$B$2,Apr!B84&gt;קריטריונים!$B$3),Apr!K84,"")</f>
        <v/>
      </c>
      <c r="AH83" s="113" t="str">
        <f>IF(AND(ABS(Apr!J84)&gt;קריטריונים!$B$2,Apr!B84&gt;קריטריונים!$B$3),Apr!J84,"")</f>
        <v/>
      </c>
      <c r="AI83" s="113" t="str">
        <f>IF(AND(ABS(Apr!F84)&gt;קריטריונים!$B$1,Apr!B84&gt;קריטריונים!$B$3),Apr!F84,"")</f>
        <v/>
      </c>
      <c r="AJ83" s="113" t="str">
        <f>IF(AND(ABS(Apr!E84)&gt;קריטריונים!$B$1,Apr!B84&gt;קריטריונים!$B$3),Apr!E84,"")</f>
        <v/>
      </c>
      <c r="AK83" s="113" t="str">
        <f>IF(AND(ABS(Mar!K84)&gt;קריטריונים!$B$2,Mar!B84&gt;קריטריונים!$B$3),Mar!K84,"")</f>
        <v/>
      </c>
      <c r="AL83" s="113" t="str">
        <f>IF(AND(ABS(Mar!J84)&gt;קריטריונים!$B$2,Mar!B84&gt;קריטריונים!$B$3),Mar!J84,"")</f>
        <v/>
      </c>
      <c r="AM83" s="113" t="str">
        <f>IF(AND(ABS(Mar!F84)&gt;קריטריונים!$B$1,Mar!B84&gt;קריטריונים!$B$3),Mar!F84,"")</f>
        <v/>
      </c>
      <c r="AN83" s="113" t="str">
        <f>IF(AND(ABS(Mar!E84)&gt;קריטריונים!$B$1,Mar!B84&gt;קריטריונים!$B$3),Mar!E84,"")</f>
        <v/>
      </c>
      <c r="AO83" s="113" t="str">
        <f>IF(AND(ABS(Feb!K84)&gt;קריטריונים!$B$2,Feb!B84&gt;קריטריונים!$B$3),Feb!K84,"")</f>
        <v/>
      </c>
      <c r="AP83" s="113" t="str">
        <f>IF(AND(ABS(Feb!J84)&gt;קריטריונים!$B$2,Feb!B84&gt;קריטריונים!$B$3),Feb!J84,"")</f>
        <v/>
      </c>
      <c r="AQ83" s="113" t="str">
        <f>IF(AND(ABS(Feb!F84)&gt;קריטריונים!$B$1,Feb!B84&gt;קריטריונים!$B$3),Feb!F84,"")</f>
        <v/>
      </c>
      <c r="AR83" s="113" t="str">
        <f>IF(AND(ABS(Feb!G84)&gt;קריטריונים!$B$1,Feb!C84&gt;קריטריונים!$B$3),Feb!G84,"")</f>
        <v/>
      </c>
      <c r="AS83" s="113" t="str">
        <f>IF(AND(ABS(Feb!H84)&gt;קריטריונים!$B$1,Feb!D84&gt;קריטריונים!$B$3),Feb!H84,"")</f>
        <v/>
      </c>
      <c r="AT83" s="103" t="str">
        <f>IF(AND(ABS(Jan!E84)&gt;קריטריונים!$B$1,Jan!B84&gt;קריטריונים!$B$3),Jan!E84,"")</f>
        <v/>
      </c>
      <c r="AU83" s="118" t="s">
        <v>70</v>
      </c>
    </row>
    <row r="84" spans="1:47">
      <c r="A84" s="112" t="str">
        <f>IF(AND(ABS(Dec!K85)&gt;קריטריונים!$B$2,Dec!B85&gt;קריטריונים!$B$3),Dec!K85,"")</f>
        <v/>
      </c>
      <c r="B84" s="113" t="str">
        <f>IF(AND(ABS(Dec!J85)&gt;קריטריונים!$B$2,Dec!B85&gt;קריטריונים!$B$3),Dec!J85,"")</f>
        <v/>
      </c>
      <c r="C84" s="113" t="str">
        <f>IF(AND(ABS(Dec!F85)&gt;קריטריונים!$B$1,Dec!B85&gt;קריטריונים!$B$3),Dec!F85,"")</f>
        <v/>
      </c>
      <c r="D84" s="113" t="str">
        <f>IF(AND(ABS(Dec!E85)&gt;קריטריונים!$B$1,Dec!B85&gt;קריטריונים!$B$3),Dec!E85,"")</f>
        <v/>
      </c>
      <c r="E84" s="113">
        <f>IF(AND(ABS(Nov!K85)&gt;קריטריונים!$B$2,Nov!B85&gt;קריטריונים!$B$3),Nov!K85,"")</f>
        <v>0.31526327482781613</v>
      </c>
      <c r="F84" s="113">
        <f>IF(AND(ABS(Nov!J85)&gt;קריטריונים!$B$2,Nov!B85&gt;קריטריונים!$B$3),Nov!J85,"")</f>
        <v>0.26333760136577045</v>
      </c>
      <c r="G84" s="113">
        <f>IF(AND(ABS(Nov!F85)&gt;קריטריונים!$B$1,Nov!B85&gt;קריטריונים!$B$3),Nov!F85,"")</f>
        <v>0.32090132090132095</v>
      </c>
      <c r="H84" s="113">
        <f>IF(AND(ABS(Nov!E85)&gt;קריטריונים!$B$1,Nov!B85&gt;קריטריונים!$B$3),Nov!E85,"")</f>
        <v>0.13408939292861888</v>
      </c>
      <c r="I84" s="113">
        <f>IF(AND(ABS(Oct!K85)&gt;קריטריונים!$B$2,Oct!B85&gt;קריטריונים!$B$3),Oct!K85,"")</f>
        <v>0.31492129324158746</v>
      </c>
      <c r="J84" s="113">
        <f>IF(AND(ABS(Oct!J85)&gt;קריטריונים!$B$2,Oct!B85&gt;קריטריונים!$B$3),Oct!J85,"")</f>
        <v>0.27217181159089887</v>
      </c>
      <c r="K84" s="113">
        <f>IF(AND(ABS(Oct!F85)&gt;קריטריונים!$B$1,Oct!B85&gt;קריטריונים!$B$3),Oct!F85,"")</f>
        <v>0.10356536502546709</v>
      </c>
      <c r="L84" s="113">
        <f>IF(AND(ABS(Oct!E85)&gt;קריטריונים!$B$1,Oct!B85&gt;קריטריונים!$B$3),Oct!E85,"")</f>
        <v>0.3778484366719661</v>
      </c>
      <c r="M84" s="113">
        <f>IF(AND(ABS(Sep!K85)&gt;קריטריונים!$B$2,Sep!B85&gt;קריטריונים!$B$3),Sep!K85,"")</f>
        <v>0.34132117484890268</v>
      </c>
      <c r="N84" s="113">
        <f>IF(AND(ABS(Sep!J85)&gt;קריטריונים!$B$2,Sep!B85&gt;קריטריונים!$B$3),Sep!J85,"")</f>
        <v>0.26222310915984837</v>
      </c>
      <c r="O84" s="113">
        <f>IF(AND(ABS(Sep!F85)&gt;קריטריונים!$B$1,Sep!B85&gt;קריטריונים!$B$3),Sep!F85,"")</f>
        <v>0.35722041259500537</v>
      </c>
      <c r="P84" s="113">
        <f>IF(AND(ABS(Sep!E85)&gt;קריטריונים!$B$1,Sep!B85&gt;קריטריונים!$B$3),Sep!E85,"")</f>
        <v>5.8873358746293958E-2</v>
      </c>
      <c r="Q84" s="113">
        <f>IF(AND(ABS(Aug!K85)&gt;קריטריונים!$B$2,Aug!B85&gt;קריטריונים!$B$3),Aug!K85,"")</f>
        <v>0.33960047003525262</v>
      </c>
      <c r="R84" s="113">
        <f>IF(AND(ABS(Aug!J85)&gt;קריטריונים!$B$2,Aug!B85&gt;קריטריונים!$B$3),Aug!J85,"")</f>
        <v>0.28937397500424145</v>
      </c>
      <c r="S84" s="113">
        <f>IF(AND(ABS(Aug!F85)&gt;קריטריונים!$B$1,Aug!B85&gt;קריטריונים!$B$3),Aug!F85,"")</f>
        <v>0.13830392714854867</v>
      </c>
      <c r="T84" s="113">
        <f>IF(AND(ABS(Aug!E85)&gt;קריטריונים!$B$1,Aug!B85&gt;קריטריונים!$B$3),Aug!E85,"")</f>
        <v>0.32013201320132012</v>
      </c>
      <c r="U84" s="113">
        <f>IF(AND(ABS(Jul!K85)&gt;קריטריונים!$B$2,Jul!B85&gt;קריטריונים!$B$3),Jul!K85,"")</f>
        <v>0.22209165687426569</v>
      </c>
      <c r="V84" s="113">
        <f>IF(AND(ABS(Jul!J85)&gt;קריטריונים!$B$2,Jul!B85&gt;קריטריונים!$B$3),Jul!J85,"")</f>
        <v>0.28649183572488868</v>
      </c>
      <c r="W84" s="113">
        <f>IF(AND(ABS(Jul!F85)&gt;קריטריונים!$B$1,Jul!B85&gt;קריטריונים!$B$3),Jul!F85,"")</f>
        <v>0.47244425746739593</v>
      </c>
      <c r="X84" s="113">
        <f>IF(AND(ABS(Jul!E85)&gt;קריטריונים!$B$1,Jul!B85&gt;קריטריונים!$B$3),Jul!E85,"")</f>
        <v>0.42857142857142838</v>
      </c>
      <c r="Y84" s="113">
        <f>IF(AND(ABS(Jun!K85)&gt;קריטריונים!$B$2,Jun!B85&gt;קריטריונים!$B$3),Jun!K85,"")</f>
        <v>0.30694266072372889</v>
      </c>
      <c r="Z84" s="113">
        <f>IF(AND(ABS(Jun!J85)&gt;קריטריונים!$B$2,Jun!B85&gt;קריטריונים!$B$3),Jun!J85,"")</f>
        <v>0.26111678087184731</v>
      </c>
      <c r="AA84" s="113">
        <f>IF(AND(ABS(Jun!F85)&gt;קריטריונים!$B$1,Jun!B85&gt;קריטריונים!$B$3),Jun!F85,"")</f>
        <v>0.18980169971671401</v>
      </c>
      <c r="AB84" s="113">
        <f>IF(AND(ABS(Jun!E85)&gt;קריטריונים!$B$1,Jun!B85&gt;קריטריונים!$B$3),Jun!E85,"")</f>
        <v>0.38157894736842102</v>
      </c>
      <c r="AC84" s="113">
        <f>IF(AND(ABS(May!K85)&gt;קריטריונים!$B$2,May!B85&gt;קריטריונים!$B$3),May!K85,"")</f>
        <v>0.36678356262925993</v>
      </c>
      <c r="AD84" s="113">
        <f>IF(AND(ABS(May!J85)&gt;קריטריונים!$B$2,May!B85&gt;קריטריונים!$B$3),May!J85,"")</f>
        <v>0.24610591900311518</v>
      </c>
      <c r="AE84" s="113">
        <f>IF(AND(ABS(May!F85)&gt;קריטריונים!$B$1,May!B85&gt;קריטריונים!$B$3),May!F85,"")</f>
        <v>0.36425648021828105</v>
      </c>
      <c r="AF84" s="113">
        <f>IF(AND(ABS(May!E85)&gt;קריטריונים!$B$1,May!B85&gt;קריטריונים!$B$3),May!E85,"")</f>
        <v>-3.0067895247332665E-2</v>
      </c>
      <c r="AG84" s="113">
        <f>IF(AND(ABS(Apr!K85)&gt;קריטריונים!$B$2,Apr!B85&gt;קריטריונים!$B$3),Apr!K85,"")</f>
        <v>0.36740641111858308</v>
      </c>
      <c r="AH84" s="113">
        <f>IF(AND(ABS(Apr!J85)&gt;קריטריונים!$B$2,Apr!B85&gt;קריטריונים!$B$3),Apr!J85,"")</f>
        <v>0.33992311916529361</v>
      </c>
      <c r="AI84" s="113">
        <f>IF(AND(ABS(Apr!F85)&gt;קריטריונים!$B$1,Apr!B85&gt;קריטריונים!$B$3),Apr!F85,"")</f>
        <v>0.47465437788018439</v>
      </c>
      <c r="AJ84" s="113">
        <f>IF(AND(ABS(Apr!E85)&gt;קריטריונים!$B$1,Apr!B85&gt;קריטריונים!$B$3),Apr!E85,"")</f>
        <v>0.9429265330904677</v>
      </c>
      <c r="AK84" s="113">
        <f>IF(AND(ABS(Mar!K85)&gt;קריטריונים!$B$2,Mar!B85&gt;קריטריונים!$B$3),Mar!K85,"")</f>
        <v>0.33293838862559255</v>
      </c>
      <c r="AL84" s="113">
        <f>IF(AND(ABS(Mar!J85)&gt;קריטריונים!$B$2,Mar!B85&gt;קריטריונים!$B$3),Mar!J85,"")</f>
        <v>0.2067578439259854</v>
      </c>
      <c r="AM84" s="113">
        <f>IF(AND(ABS(Mar!F85)&gt;קריטריונים!$B$1,Mar!B85&gt;קריטריונים!$B$3),Mar!F85,"")</f>
        <v>0.14367405289492496</v>
      </c>
      <c r="AN84" s="113">
        <f>IF(AND(ABS(Mar!E85)&gt;קריטריונים!$B$1,Mar!B85&gt;קריטריונים!$B$3),Mar!E85,"")</f>
        <v>0.25588697017268447</v>
      </c>
      <c r="AO84" s="113">
        <f>IF(AND(ABS(Feb!K85)&gt;קריטריונים!$B$2,Feb!B85&gt;קריטריונים!$B$3),Feb!K85,"")</f>
        <v>0.38240239118251451</v>
      </c>
      <c r="AP84" s="113">
        <f>IF(AND(ABS(Feb!J85)&gt;קריטריונים!$B$2,Feb!B85&gt;קריטריונים!$B$3),Feb!J85,"")</f>
        <v>0.19663648124191457</v>
      </c>
      <c r="AQ84" s="113">
        <f>IF(AND(ABS(Feb!F85)&gt;קריטריונים!$B$1,Feb!B85&gt;קריטריונים!$B$3),Feb!F85,"")</f>
        <v>0.41628730399595337</v>
      </c>
      <c r="AR84" s="113">
        <f>IF(AND(ABS(Feb!G85)&gt;קריטריונים!$B$1,Feb!C85&gt;קריטריונים!$B$3),Feb!G85,"")</f>
        <v>7.3999999999999995</v>
      </c>
      <c r="AS84" s="113">
        <f>IF(AND(ABS(Feb!H85)&gt;קריטריונים!$B$1,Feb!D85&gt;קריטריונים!$B$3),Feb!H85,"")</f>
        <v>6.1840000000000002</v>
      </c>
      <c r="AT84" s="103">
        <f>IF(AND(ABS(Jan!E85)&gt;קריטריונים!$B$1,Jan!B85&gt;קריטריונים!$B$3),Jan!E85,"")</f>
        <v>0.19263676432460453</v>
      </c>
      <c r="AU84" s="118" t="s">
        <v>71</v>
      </c>
    </row>
    <row r="85" spans="1:47">
      <c r="A85" s="112" t="str">
        <f>IF(AND(ABS(Dec!K86)&gt;קריטריונים!$B$2,Dec!B86&gt;קריטריונים!$B$3),Dec!K86,"")</f>
        <v/>
      </c>
      <c r="B85" s="113" t="str">
        <f>IF(AND(ABS(Dec!J86)&gt;קריטריונים!$B$2,Dec!B86&gt;קריטריונים!$B$3),Dec!J86,"")</f>
        <v/>
      </c>
      <c r="C85" s="113" t="str">
        <f>IF(AND(ABS(Dec!F86)&gt;קריטריונים!$B$1,Dec!B86&gt;קריטריונים!$B$3),Dec!F86,"")</f>
        <v/>
      </c>
      <c r="D85" s="113" t="str">
        <f>IF(AND(ABS(Dec!E86)&gt;קריטריונים!$B$1,Dec!B86&gt;קריטריונים!$B$3),Dec!E86,"")</f>
        <v/>
      </c>
      <c r="E85" s="113">
        <f>IF(AND(ABS(Nov!K86)&gt;קריטריונים!$B$2,Nov!B86&gt;קריטריונים!$B$3),Nov!K86,"")</f>
        <v>0.28700451580531872</v>
      </c>
      <c r="F85" s="113">
        <f>IF(AND(ABS(Nov!J86)&gt;קריטריונים!$B$2,Nov!B86&gt;קריטריונים!$B$3),Nov!J86,"")</f>
        <v>0.64983598121824149</v>
      </c>
      <c r="G85" s="113">
        <f>IF(AND(ABS(Nov!F86)&gt;קריטריונים!$B$1,Nov!B86&gt;קריטריונים!$B$3),Nov!F86,"")</f>
        <v>1.0065887990416291</v>
      </c>
      <c r="H85" s="113">
        <f>IF(AND(ABS(Nov!E86)&gt;קריטריונים!$B$1,Nov!B86&gt;קריטריונים!$B$3),Nov!E86,"")</f>
        <v>0.49955237242614148</v>
      </c>
      <c r="I85" s="113">
        <f>IF(AND(ABS(Oct!K86)&gt;קריטריונים!$B$2,Oct!B86&gt;קריטריונים!$B$3),Oct!K86,"")</f>
        <v>0.22121519125982303</v>
      </c>
      <c r="J85" s="113">
        <f>IF(AND(ABS(Oct!J86)&gt;קריטריונים!$B$2,Oct!B86&gt;קריטריונים!$B$3),Oct!J86,"")</f>
        <v>0.67505445804852404</v>
      </c>
      <c r="K85" s="113">
        <f>IF(AND(ABS(Oct!F86)&gt;קריטריונים!$B$1,Oct!B86&gt;קריטריונים!$B$3),Oct!F86,"")</f>
        <v>0.61702127659574457</v>
      </c>
      <c r="L85" s="113">
        <f>IF(AND(ABS(Oct!E86)&gt;קריטריונים!$B$1,Oct!B86&gt;קריטריונים!$B$3),Oct!E86,"")</f>
        <v>0.72140430351075868</v>
      </c>
      <c r="M85" s="113">
        <f>IF(AND(ABS(Sep!K86)&gt;קריטריונים!$B$2,Sep!B86&gt;קריטריונים!$B$3),Sep!K86,"")</f>
        <v>0.16275415606046306</v>
      </c>
      <c r="N85" s="113">
        <f>IF(AND(ABS(Sep!J86)&gt;קריטריונים!$B$2,Sep!B86&gt;קריטריונים!$B$3),Sep!J86,"")</f>
        <v>0.66584124983116455</v>
      </c>
      <c r="O85" s="113">
        <f>IF(AND(ABS(Sep!F86)&gt;קריטריונים!$B$1,Sep!B86&gt;קריטריונים!$B$3),Sep!F86,"")</f>
        <v>0.36314067611777534</v>
      </c>
      <c r="P85" s="113">
        <f>IF(AND(ABS(Sep!E86)&gt;קריטריונים!$B$1,Sep!B86&gt;קריטריונים!$B$3),Sep!E86,"")</f>
        <v>0.49970005998800238</v>
      </c>
      <c r="Q85" s="113">
        <f>IF(AND(ABS(Aug!K86)&gt;קריטריונים!$B$2,Aug!B86&gt;קריטריונים!$B$3),Aug!K86,"")</f>
        <v>0.13664618335523748</v>
      </c>
      <c r="R85" s="113">
        <f>IF(AND(ABS(Aug!J86)&gt;קריטריונים!$B$2,Aug!B86&gt;קריטריונים!$B$3),Aug!J86,"")</f>
        <v>0.69518461619960759</v>
      </c>
      <c r="S85" s="113">
        <f>IF(AND(ABS(Aug!F86)&gt;קריטריונים!$B$1,Aug!B86&gt;קריטריונים!$B$3),Aug!F86,"")</f>
        <v>0.37136588041689533</v>
      </c>
      <c r="T85" s="113">
        <f>IF(AND(ABS(Aug!E86)&gt;קריטריונים!$B$1,Aug!B86&gt;קריטריונים!$B$3),Aug!E86,"")</f>
        <v>0.47405660377358494</v>
      </c>
      <c r="U85" s="113">
        <f>IF(AND(ABS(Jul!K86)&gt;קריטריונים!$B$2,Jul!B86&gt;קריטריונים!$B$3),Jul!K86,"")</f>
        <v>4.7845700280609416E-2</v>
      </c>
      <c r="V85" s="113">
        <f>IF(AND(ABS(Jul!J86)&gt;קריטריונים!$B$2,Jul!B86&gt;קריטריונים!$B$3),Jul!J86,"")</f>
        <v>0.71701297945404785</v>
      </c>
      <c r="W85" s="113">
        <f>IF(AND(ABS(Jul!F86)&gt;קריטריונים!$B$1,Jul!B86&gt;קריטריונים!$B$3),Jul!F86,"")</f>
        <v>7.7734464572345896E-2</v>
      </c>
      <c r="X85" s="113">
        <f>IF(AND(ABS(Jul!E86)&gt;קריטריונים!$B$1,Jul!B86&gt;קריטריונים!$B$3),Jul!E86,"")</f>
        <v>0.50303805564438786</v>
      </c>
      <c r="Y85" s="113">
        <f>IF(AND(ABS(Jun!K86)&gt;קריטריונים!$B$2,Jun!B86&gt;קריטריונים!$B$3),Jun!K86,"")</f>
        <v>8.7147115553217525E-2</v>
      </c>
      <c r="Z85" s="113">
        <f>IF(AND(ABS(Jun!J86)&gt;קריטריונים!$B$2,Jun!B86&gt;קריטריונים!$B$3),Jun!J86,"")</f>
        <v>0.76462217162373669</v>
      </c>
      <c r="AA85" s="113">
        <f>IF(AND(ABS(Jun!F86)&gt;קריטריונים!$B$1,Jun!B86&gt;קריטריונים!$B$3),Jun!F86,"")</f>
        <v>0.48270181219110397</v>
      </c>
      <c r="AB85" s="113">
        <f>IF(AND(ABS(Jun!E86)&gt;קריטריונים!$B$1,Jun!B86&gt;קריטריונים!$B$3),Jun!E86,"")</f>
        <v>1.0446800454373344</v>
      </c>
      <c r="AC85" s="113">
        <f>IF(AND(ABS(May!K86)&gt;קריטריונים!$B$2,May!B86&gt;קריטריונים!$B$3),May!K86,"")</f>
        <v>5.8547498226659833E-2</v>
      </c>
      <c r="AD85" s="113">
        <f>IF(AND(ABS(May!J86)&gt;קריטריונים!$B$2,May!B86&gt;קריטריונים!$B$3),May!J86,"")</f>
        <v>0.6998159992990447</v>
      </c>
      <c r="AE85" s="113">
        <f>IF(AND(ABS(May!F86)&gt;קריטריונים!$B$1,May!B86&gt;קריטריונים!$B$3),May!F86,"")</f>
        <v>0.26977055023390517</v>
      </c>
      <c r="AF85" s="113">
        <f>IF(AND(ABS(May!E86)&gt;קריטריונים!$B$1,May!B86&gt;קריטריונים!$B$3),May!E86,"")</f>
        <v>0.70403587443946192</v>
      </c>
      <c r="AG85" s="113">
        <f>IF(AND(ABS(Apr!K86)&gt;קריטריונים!$B$2,Apr!B86&gt;קריטריונים!$B$3),Apr!K86,"")</f>
        <v>-9.9725393843042021E-3</v>
      </c>
      <c r="AH85" s="113">
        <f>IF(AND(ABS(Apr!J86)&gt;קריטריונים!$B$2,Apr!B86&gt;קריטריונים!$B$3),Apr!J86,"")</f>
        <v>0.69806643529995038</v>
      </c>
      <c r="AI85" s="113">
        <f>IF(AND(ABS(Apr!F86)&gt;קריטריונים!$B$1,Apr!B86&gt;קריטריונים!$B$3),Apr!F86,"")</f>
        <v>-0.18221313570150766</v>
      </c>
      <c r="AJ85" s="113">
        <f>IF(AND(ABS(Apr!E86)&gt;קריטריונים!$B$1,Apr!B86&gt;קריטריונים!$B$3),Apr!E86,"")</f>
        <v>0.65631469979296075</v>
      </c>
      <c r="AK85" s="113">
        <f>IF(AND(ABS(Mar!K86)&gt;קריטריונים!$B$2,Mar!B86&gt;קריטריונים!$B$3),Mar!K86,"")</f>
        <v>5.7934508816120722E-2</v>
      </c>
      <c r="AL85" s="113">
        <f>IF(AND(ABS(Mar!J86)&gt;קריטריונים!$B$2,Mar!B86&gt;קריטריונים!$B$3),Mar!J86,"")</f>
        <v>0.71121251629726223</v>
      </c>
      <c r="AM85" s="113">
        <f>IF(AND(ABS(Mar!F86)&gt;קריטריונים!$B$1,Mar!B86&gt;קריטריונים!$B$3),Mar!F86,"")</f>
        <v>1.6694490818029983E-3</v>
      </c>
      <c r="AN85" s="113">
        <f>IF(AND(ABS(Mar!E86)&gt;קריטריונים!$B$1,Mar!B86&gt;קריטריונים!$B$3),Mar!E86,"")</f>
        <v>0.68255748738081889</v>
      </c>
      <c r="AO85" s="113">
        <f>IF(AND(ABS(Feb!K86)&gt;קריטריונים!$B$2,Feb!B86&gt;קריטריונים!$B$3),Feb!K86,"")</f>
        <v>8.2251082251082241E-2</v>
      </c>
      <c r="AP85" s="113">
        <f>IF(AND(ABS(Feb!J86)&gt;קריטריונים!$B$2,Feb!B86&gt;קריטריונים!$B$3),Feb!J86,"")</f>
        <v>0.72294968986905594</v>
      </c>
      <c r="AQ85" s="113">
        <f>IF(AND(ABS(Feb!F86)&gt;קריטריונים!$B$1,Feb!B86&gt;קריטריונים!$B$3),Feb!F86,"")</f>
        <v>0.14822546972860118</v>
      </c>
      <c r="AR85" s="113">
        <f>IF(AND(ABS(Feb!G86)&gt;קריטריונים!$B$1,Feb!C86&gt;קריטריונים!$B$3),Feb!G86,"")</f>
        <v>7.5</v>
      </c>
      <c r="AS85" s="113">
        <f>IF(AND(ABS(Feb!H86)&gt;קריטריונים!$B$1,Feb!D86&gt;קריטריונים!$B$3),Feb!H86,"")</f>
        <v>4.3529999999999998</v>
      </c>
      <c r="AT85" s="103">
        <f>IF(AND(ABS(Jan!E86)&gt;קריטריונים!$B$1,Jan!B86&gt;קריטריונים!$B$3),Jan!E86,"")</f>
        <v>0.74563591022443898</v>
      </c>
      <c r="AU85" s="118" t="s">
        <v>72</v>
      </c>
    </row>
    <row r="86" spans="1:47">
      <c r="A86" s="112" t="str">
        <f>IF(AND(ABS(Dec!K87)&gt;קריטריונים!$B$2,Dec!B87&gt;קריטריונים!$B$3),Dec!K87,"")</f>
        <v/>
      </c>
      <c r="B86" s="113" t="str">
        <f>IF(AND(ABS(Dec!J87)&gt;קריטריונים!$B$2,Dec!B87&gt;קריטריונים!$B$3),Dec!J87,"")</f>
        <v/>
      </c>
      <c r="C86" s="113" t="str">
        <f>IF(AND(ABS(Dec!F87)&gt;קריטריונים!$B$1,Dec!B87&gt;קריטריונים!$B$3),Dec!F87,"")</f>
        <v/>
      </c>
      <c r="D86" s="113" t="str">
        <f>IF(AND(ABS(Dec!E87)&gt;קריטריונים!$B$1,Dec!B87&gt;קריטריונים!$B$3),Dec!E87,"")</f>
        <v/>
      </c>
      <c r="E86" s="113" t="str">
        <f>IF(AND(ABS(Nov!K87)&gt;קריטריונים!$B$2,Nov!B87&gt;קריטריונים!$B$3),Nov!K87,"")</f>
        <v/>
      </c>
      <c r="F86" s="113" t="str">
        <f>IF(AND(ABS(Nov!J87)&gt;קריטריונים!$B$2,Nov!B87&gt;קריטריונים!$B$3),Nov!J87,"")</f>
        <v/>
      </c>
      <c r="G86" s="113" t="str">
        <f>IF(AND(ABS(Nov!F87)&gt;קריטריונים!$B$1,Nov!B87&gt;קריטריונים!$B$3),Nov!F87,"")</f>
        <v/>
      </c>
      <c r="H86" s="113" t="str">
        <f>IF(AND(ABS(Nov!E87)&gt;קריטריונים!$B$1,Nov!B87&gt;קריטריונים!$B$3),Nov!E87,"")</f>
        <v/>
      </c>
      <c r="I86" s="113" t="str">
        <f>IF(AND(ABS(Oct!K87)&gt;קריטריונים!$B$2,Oct!B87&gt;קריטריונים!$B$3),Oct!K87,"")</f>
        <v/>
      </c>
      <c r="J86" s="113" t="str">
        <f>IF(AND(ABS(Oct!J87)&gt;קריטריונים!$B$2,Oct!B87&gt;קריטריונים!$B$3),Oct!J87,"")</f>
        <v/>
      </c>
      <c r="K86" s="113" t="str">
        <f>IF(AND(ABS(Oct!F87)&gt;קריטריונים!$B$1,Oct!B87&gt;קריטריונים!$B$3),Oct!F87,"")</f>
        <v/>
      </c>
      <c r="L86" s="113" t="str">
        <f>IF(AND(ABS(Oct!E87)&gt;קריטריונים!$B$1,Oct!B87&gt;קריטריונים!$B$3),Oct!E87,"")</f>
        <v/>
      </c>
      <c r="M86" s="113" t="str">
        <f>IF(AND(ABS(Sep!K87)&gt;קריטריונים!$B$2,Sep!B87&gt;קריטריונים!$B$3),Sep!K87,"")</f>
        <v/>
      </c>
      <c r="N86" s="113" t="str">
        <f>IF(AND(ABS(Sep!J87)&gt;קריטריונים!$B$2,Sep!B87&gt;קריטריונים!$B$3),Sep!J87,"")</f>
        <v/>
      </c>
      <c r="O86" s="113" t="str">
        <f>IF(AND(ABS(Sep!F87)&gt;קריטריונים!$B$1,Sep!B87&gt;קריטריונים!$B$3),Sep!F87,"")</f>
        <v/>
      </c>
      <c r="P86" s="113" t="str">
        <f>IF(AND(ABS(Sep!E87)&gt;קריטריונים!$B$1,Sep!B87&gt;קריטריונים!$B$3),Sep!E87,"")</f>
        <v/>
      </c>
      <c r="Q86" s="113" t="str">
        <f>IF(AND(ABS(Aug!K87)&gt;קריטריונים!$B$2,Aug!B87&gt;קריטריונים!$B$3),Aug!K87,"")</f>
        <v/>
      </c>
      <c r="R86" s="113" t="str">
        <f>IF(AND(ABS(Aug!J87)&gt;קריטריונים!$B$2,Aug!B87&gt;קריטריונים!$B$3),Aug!J87,"")</f>
        <v/>
      </c>
      <c r="S86" s="113" t="str">
        <f>IF(AND(ABS(Aug!F87)&gt;קריטריונים!$B$1,Aug!B87&gt;קריטריונים!$B$3),Aug!F87,"")</f>
        <v/>
      </c>
      <c r="T86" s="113" t="str">
        <f>IF(AND(ABS(Aug!E87)&gt;קריטריונים!$B$1,Aug!B87&gt;קריטריונים!$B$3),Aug!E87,"")</f>
        <v/>
      </c>
      <c r="U86" s="113" t="str">
        <f>IF(AND(ABS(Jul!K87)&gt;קריטריונים!$B$2,Jul!B87&gt;קריטריונים!$B$3),Jul!K87,"")</f>
        <v/>
      </c>
      <c r="V86" s="113" t="str">
        <f>IF(AND(ABS(Jul!J87)&gt;קריטריונים!$B$2,Jul!B87&gt;קריטריונים!$B$3),Jul!J87,"")</f>
        <v/>
      </c>
      <c r="W86" s="113" t="str">
        <f>IF(AND(ABS(Jul!F87)&gt;קריטריונים!$B$1,Jul!B87&gt;קריטריונים!$B$3),Jul!F87,"")</f>
        <v/>
      </c>
      <c r="X86" s="113" t="str">
        <f>IF(AND(ABS(Jul!E87)&gt;קריטריונים!$B$1,Jul!B87&gt;קריטריונים!$B$3),Jul!E87,"")</f>
        <v/>
      </c>
      <c r="Y86" s="113" t="str">
        <f>IF(AND(ABS(Jun!K87)&gt;קריטריונים!$B$2,Jun!B87&gt;קריטריונים!$B$3),Jun!K87,"")</f>
        <v/>
      </c>
      <c r="Z86" s="113" t="str">
        <f>IF(AND(ABS(Jun!J87)&gt;קריטריונים!$B$2,Jun!B87&gt;קריטריונים!$B$3),Jun!J87,"")</f>
        <v/>
      </c>
      <c r="AA86" s="113" t="str">
        <f>IF(AND(ABS(Jun!F87)&gt;קריטריונים!$B$1,Jun!B87&gt;קריטריונים!$B$3),Jun!F87,"")</f>
        <v/>
      </c>
      <c r="AB86" s="113" t="str">
        <f>IF(AND(ABS(Jun!E87)&gt;קריטריונים!$B$1,Jun!B87&gt;קריטריונים!$B$3),Jun!E87,"")</f>
        <v/>
      </c>
      <c r="AC86" s="113" t="str">
        <f>IF(AND(ABS(May!K87)&gt;קריטריונים!$B$2,May!B87&gt;קריטריונים!$B$3),May!K87,"")</f>
        <v/>
      </c>
      <c r="AD86" s="113" t="str">
        <f>IF(AND(ABS(May!J87)&gt;קריטריונים!$B$2,May!B87&gt;קריטריונים!$B$3),May!J87,"")</f>
        <v/>
      </c>
      <c r="AE86" s="113" t="str">
        <f>IF(AND(ABS(May!F87)&gt;קריטריונים!$B$1,May!B87&gt;קריטריונים!$B$3),May!F87,"")</f>
        <v/>
      </c>
      <c r="AF86" s="113" t="str">
        <f>IF(AND(ABS(May!E87)&gt;קריטריונים!$B$1,May!B87&gt;קריטריונים!$B$3),May!E87,"")</f>
        <v/>
      </c>
      <c r="AG86" s="113" t="str">
        <f>IF(AND(ABS(Apr!K87)&gt;קריטריונים!$B$2,Apr!B87&gt;קריטריונים!$B$3),Apr!K87,"")</f>
        <v/>
      </c>
      <c r="AH86" s="113" t="str">
        <f>IF(AND(ABS(Apr!J87)&gt;קריטריונים!$B$2,Apr!B87&gt;קריטריונים!$B$3),Apr!J87,"")</f>
        <v/>
      </c>
      <c r="AI86" s="113" t="str">
        <f>IF(AND(ABS(Apr!F87)&gt;קריטריונים!$B$1,Apr!B87&gt;קריטריונים!$B$3),Apr!F87,"")</f>
        <v/>
      </c>
      <c r="AJ86" s="113" t="str">
        <f>IF(AND(ABS(Apr!E87)&gt;קריטריונים!$B$1,Apr!B87&gt;קריטריונים!$B$3),Apr!E87,"")</f>
        <v/>
      </c>
      <c r="AK86" s="113" t="str">
        <f>IF(AND(ABS(Mar!K87)&gt;קריטריונים!$B$2,Mar!B87&gt;קריטריונים!$B$3),Mar!K87,"")</f>
        <v/>
      </c>
      <c r="AL86" s="113" t="str">
        <f>IF(AND(ABS(Mar!J87)&gt;קריטריונים!$B$2,Mar!B87&gt;קריטריונים!$B$3),Mar!J87,"")</f>
        <v/>
      </c>
      <c r="AM86" s="113" t="str">
        <f>IF(AND(ABS(Mar!F87)&gt;קריטריונים!$B$1,Mar!B87&gt;קריטריונים!$B$3),Mar!F87,"")</f>
        <v/>
      </c>
      <c r="AN86" s="113" t="str">
        <f>IF(AND(ABS(Mar!E87)&gt;קריטריונים!$B$1,Mar!B87&gt;קריטריונים!$B$3),Mar!E87,"")</f>
        <v/>
      </c>
      <c r="AO86" s="113" t="str">
        <f>IF(AND(ABS(Feb!K87)&gt;קריטריונים!$B$2,Feb!B87&gt;קריטריונים!$B$3),Feb!K87,"")</f>
        <v/>
      </c>
      <c r="AP86" s="113" t="str">
        <f>IF(AND(ABS(Feb!J87)&gt;קריטריונים!$B$2,Feb!B87&gt;קריטריונים!$B$3),Feb!J87,"")</f>
        <v/>
      </c>
      <c r="AQ86" s="113" t="str">
        <f>IF(AND(ABS(Feb!F87)&gt;קריטריונים!$B$1,Feb!B87&gt;קריטריונים!$B$3),Feb!F87,"")</f>
        <v/>
      </c>
      <c r="AR86" s="113" t="str">
        <f>IF(AND(ABS(Feb!G87)&gt;קריטריונים!$B$1,Feb!C87&gt;קריטריונים!$B$3),Feb!G87,"")</f>
        <v/>
      </c>
      <c r="AS86" s="113" t="str">
        <f>IF(AND(ABS(Feb!H87)&gt;קריטריונים!$B$1,Feb!D87&gt;קריטריונים!$B$3),Feb!H87,"")</f>
        <v/>
      </c>
      <c r="AT86" s="103" t="str">
        <f>IF(AND(ABS(Jan!E87)&gt;קריטריונים!$B$1,Jan!B87&gt;קריטריונים!$B$3),Jan!E87,"")</f>
        <v/>
      </c>
      <c r="AU86" s="118" t="s">
        <v>73</v>
      </c>
    </row>
    <row r="87" spans="1:47">
      <c r="A87" s="112" t="str">
        <f>IF(AND(ABS(Dec!K88)&gt;קריטריונים!$B$2,Dec!B88&gt;קריטריונים!$B$3),Dec!K88,"")</f>
        <v/>
      </c>
      <c r="B87" s="113" t="str">
        <f>IF(AND(ABS(Dec!J88)&gt;קריטריונים!$B$2,Dec!B88&gt;קריטריונים!$B$3),Dec!J88,"")</f>
        <v/>
      </c>
      <c r="C87" s="113" t="str">
        <f>IF(AND(ABS(Dec!F88)&gt;קריטריונים!$B$1,Dec!B88&gt;קריטריונים!$B$3),Dec!F88,"")</f>
        <v/>
      </c>
      <c r="D87" s="113" t="str">
        <f>IF(AND(ABS(Dec!E88)&gt;קריטריונים!$B$1,Dec!B88&gt;קריטריונים!$B$3),Dec!E88,"")</f>
        <v/>
      </c>
      <c r="E87" s="113" t="str">
        <f>IF(AND(ABS(Nov!K88)&gt;קריטריונים!$B$2,Nov!B88&gt;קריטריונים!$B$3),Nov!K88,"")</f>
        <v/>
      </c>
      <c r="F87" s="113" t="str">
        <f>IF(AND(ABS(Nov!J88)&gt;קריטריונים!$B$2,Nov!B88&gt;קריטריונים!$B$3),Nov!J88,"")</f>
        <v/>
      </c>
      <c r="G87" s="113" t="str">
        <f>IF(AND(ABS(Nov!F88)&gt;קריטריונים!$B$1,Nov!B88&gt;קריטריונים!$B$3),Nov!F88,"")</f>
        <v/>
      </c>
      <c r="H87" s="113" t="str">
        <f>IF(AND(ABS(Nov!E88)&gt;קריטריונים!$B$1,Nov!B88&gt;קריטריונים!$B$3),Nov!E88,"")</f>
        <v/>
      </c>
      <c r="I87" s="113">
        <f>IF(AND(ABS(Oct!K88)&gt;קריטריונים!$B$2,Oct!B88&gt;קריטריונים!$B$3),Oct!K88,"")</f>
        <v>0.46536412078152756</v>
      </c>
      <c r="J87" s="113">
        <f>IF(AND(ABS(Oct!J88)&gt;קריטריונים!$B$2,Oct!B88&gt;קריטריונים!$B$3),Oct!J88,"")</f>
        <v>0.49006622516556275</v>
      </c>
      <c r="K87" s="113">
        <f>IF(AND(ABS(Oct!F88)&gt;קריטריונים!$B$1,Oct!B88&gt;קריטריונים!$B$3),Oct!F88,"")</f>
        <v>0.84804928131416846</v>
      </c>
      <c r="L87" s="113">
        <f>IF(AND(ABS(Oct!E88)&gt;קריטריונים!$B$1,Oct!B88&gt;קריטריונים!$B$3),Oct!E88,"")</f>
        <v>1.0881670533642693</v>
      </c>
      <c r="M87" s="113" t="str">
        <f>IF(AND(ABS(Sep!K88)&gt;קריטריונים!$B$2,Sep!B88&gt;קריטריונים!$B$3),Sep!K88,"")</f>
        <v/>
      </c>
      <c r="N87" s="113" t="str">
        <f>IF(AND(ABS(Sep!J88)&gt;קריטריונים!$B$2,Sep!B88&gt;קריטריונים!$B$3),Sep!J88,"")</f>
        <v/>
      </c>
      <c r="O87" s="113" t="str">
        <f>IF(AND(ABS(Sep!F88)&gt;קריטריונים!$B$1,Sep!B88&gt;קריטריונים!$B$3),Sep!F88,"")</f>
        <v/>
      </c>
      <c r="P87" s="113" t="str">
        <f>IF(AND(ABS(Sep!E88)&gt;קריטריונים!$B$1,Sep!B88&gt;קריטריונים!$B$3),Sep!E88,"")</f>
        <v/>
      </c>
      <c r="Q87" s="113" t="str">
        <f>IF(AND(ABS(Aug!K88)&gt;קריטריונים!$B$2,Aug!B88&gt;קריטריונים!$B$3),Aug!K88,"")</f>
        <v/>
      </c>
      <c r="R87" s="113" t="str">
        <f>IF(AND(ABS(Aug!J88)&gt;קריטריונים!$B$2,Aug!B88&gt;קריטריונים!$B$3),Aug!J88,"")</f>
        <v/>
      </c>
      <c r="S87" s="113" t="str">
        <f>IF(AND(ABS(Aug!F88)&gt;קריטריונים!$B$1,Aug!B88&gt;קריטריונים!$B$3),Aug!F88,"")</f>
        <v/>
      </c>
      <c r="T87" s="113" t="str">
        <f>IF(AND(ABS(Aug!E88)&gt;קריטריונים!$B$1,Aug!B88&gt;קריטריונים!$B$3),Aug!E88,"")</f>
        <v/>
      </c>
      <c r="U87" s="113" t="str">
        <f>IF(AND(ABS(Jul!K88)&gt;קריטריונים!$B$2,Jul!B88&gt;קריטריונים!$B$3),Jul!K88,"")</f>
        <v/>
      </c>
      <c r="V87" s="113" t="str">
        <f>IF(AND(ABS(Jul!J88)&gt;קריטריונים!$B$2,Jul!B88&gt;קריטריונים!$B$3),Jul!J88,"")</f>
        <v/>
      </c>
      <c r="W87" s="113" t="str">
        <f>IF(AND(ABS(Jul!F88)&gt;קריטריונים!$B$1,Jul!B88&gt;קריטריונים!$B$3),Jul!F88,"")</f>
        <v/>
      </c>
      <c r="X87" s="113" t="str">
        <f>IF(AND(ABS(Jul!E88)&gt;קריטריונים!$B$1,Jul!B88&gt;קריטריונים!$B$3),Jul!E88,"")</f>
        <v/>
      </c>
      <c r="Y87" s="113" t="str">
        <f>IF(AND(ABS(Jun!K88)&gt;קריטריונים!$B$2,Jun!B88&gt;קריטריונים!$B$3),Jun!K88,"")</f>
        <v/>
      </c>
      <c r="Z87" s="113" t="str">
        <f>IF(AND(ABS(Jun!J88)&gt;קריטריונים!$B$2,Jun!B88&gt;קריטריונים!$B$3),Jun!J88,"")</f>
        <v/>
      </c>
      <c r="AA87" s="113" t="str">
        <f>IF(AND(ABS(Jun!F88)&gt;קריטריונים!$B$1,Jun!B88&gt;קריטריונים!$B$3),Jun!F88,"")</f>
        <v/>
      </c>
      <c r="AB87" s="113" t="str">
        <f>IF(AND(ABS(Jun!E88)&gt;קריטריונים!$B$1,Jun!B88&gt;קריטריונים!$B$3),Jun!E88,"")</f>
        <v/>
      </c>
      <c r="AC87" s="113" t="str">
        <f>IF(AND(ABS(May!K88)&gt;קריטריונים!$B$2,May!B88&gt;קריטריונים!$B$3),May!K88,"")</f>
        <v/>
      </c>
      <c r="AD87" s="113" t="str">
        <f>IF(AND(ABS(May!J88)&gt;קריטריונים!$B$2,May!B88&gt;קריטריונים!$B$3),May!J88,"")</f>
        <v/>
      </c>
      <c r="AE87" s="113" t="str">
        <f>IF(AND(ABS(May!F88)&gt;קריטריונים!$B$1,May!B88&gt;קריטריונים!$B$3),May!F88,"")</f>
        <v/>
      </c>
      <c r="AF87" s="113" t="str">
        <f>IF(AND(ABS(May!E88)&gt;קריטריונים!$B$1,May!B88&gt;קריטריונים!$B$3),May!E88,"")</f>
        <v/>
      </c>
      <c r="AG87" s="113" t="str">
        <f>IF(AND(ABS(Apr!K88)&gt;קריטריונים!$B$2,Apr!B88&gt;קריטריונים!$B$3),Apr!K88,"")</f>
        <v/>
      </c>
      <c r="AH87" s="113" t="str">
        <f>IF(AND(ABS(Apr!J88)&gt;קריטריונים!$B$2,Apr!B88&gt;קריטריונים!$B$3),Apr!J88,"")</f>
        <v/>
      </c>
      <c r="AI87" s="113" t="str">
        <f>IF(AND(ABS(Apr!F88)&gt;קריטריונים!$B$1,Apr!B88&gt;קריטריונים!$B$3),Apr!F88,"")</f>
        <v/>
      </c>
      <c r="AJ87" s="113" t="str">
        <f>IF(AND(ABS(Apr!E88)&gt;קריטריונים!$B$1,Apr!B88&gt;קריטריונים!$B$3),Apr!E88,"")</f>
        <v/>
      </c>
      <c r="AK87" s="113" t="str">
        <f>IF(AND(ABS(Mar!K88)&gt;קריטריונים!$B$2,Mar!B88&gt;קריטריונים!$B$3),Mar!K88,"")</f>
        <v/>
      </c>
      <c r="AL87" s="113" t="str">
        <f>IF(AND(ABS(Mar!J88)&gt;קריטריונים!$B$2,Mar!B88&gt;קריטריונים!$B$3),Mar!J88,"")</f>
        <v/>
      </c>
      <c r="AM87" s="113" t="str">
        <f>IF(AND(ABS(Mar!F88)&gt;קריטריונים!$B$1,Mar!B88&gt;קריטריונים!$B$3),Mar!F88,"")</f>
        <v/>
      </c>
      <c r="AN87" s="113" t="str">
        <f>IF(AND(ABS(Mar!E88)&gt;קריטריונים!$B$1,Mar!B88&gt;קריטריונים!$B$3),Mar!E88,"")</f>
        <v/>
      </c>
      <c r="AO87" s="113" t="str">
        <f>IF(AND(ABS(Feb!K88)&gt;קריטריונים!$B$2,Feb!B88&gt;קריטריונים!$B$3),Feb!K88,"")</f>
        <v/>
      </c>
      <c r="AP87" s="113" t="str">
        <f>IF(AND(ABS(Feb!J88)&gt;קריטריונים!$B$2,Feb!B88&gt;קריטריונים!$B$3),Feb!J88,"")</f>
        <v/>
      </c>
      <c r="AQ87" s="113" t="str">
        <f>IF(AND(ABS(Feb!F88)&gt;קריטריונים!$B$1,Feb!B88&gt;קריטריונים!$B$3),Feb!F88,"")</f>
        <v/>
      </c>
      <c r="AR87" s="113" t="str">
        <f>IF(AND(ABS(Feb!G88)&gt;קריטריונים!$B$1,Feb!C88&gt;קריטריונים!$B$3),Feb!G88,"")</f>
        <v/>
      </c>
      <c r="AS87" s="113" t="str">
        <f>IF(AND(ABS(Feb!H88)&gt;קריטריונים!$B$1,Feb!D88&gt;קריטריונים!$B$3),Feb!H88,"")</f>
        <v/>
      </c>
      <c r="AT87" s="103" t="str">
        <f>IF(AND(ABS(Jan!E88)&gt;קריטריונים!$B$1,Jan!B88&gt;קריטריונים!$B$3),Jan!E88,"")</f>
        <v/>
      </c>
      <c r="AU87" s="118" t="s">
        <v>74</v>
      </c>
    </row>
    <row r="88" spans="1:47">
      <c r="A88" s="112" t="str">
        <f>IF(AND(ABS(Dec!K89)&gt;קריטריונים!$B$2,Dec!B89&gt;קריטריונים!$B$3),Dec!K89,"")</f>
        <v/>
      </c>
      <c r="B88" s="113" t="str">
        <f>IF(AND(ABS(Dec!J89)&gt;קריטריונים!$B$2,Dec!B89&gt;קריטריונים!$B$3),Dec!J89,"")</f>
        <v/>
      </c>
      <c r="C88" s="113" t="str">
        <f>IF(AND(ABS(Dec!F89)&gt;קריטריונים!$B$1,Dec!B89&gt;קריטריונים!$B$3),Dec!F89,"")</f>
        <v/>
      </c>
      <c r="D88" s="113" t="str">
        <f>IF(AND(ABS(Dec!E89)&gt;קריטריונים!$B$1,Dec!B89&gt;קריטריונים!$B$3),Dec!E89,"")</f>
        <v/>
      </c>
      <c r="E88" s="113" t="str">
        <f>IF(AND(ABS(Nov!K89)&gt;קריטריונים!$B$2,Nov!B89&gt;קריטריונים!$B$3),Nov!K89,"")</f>
        <v/>
      </c>
      <c r="F88" s="113" t="str">
        <f>IF(AND(ABS(Nov!J89)&gt;קריטריונים!$B$2,Nov!B89&gt;קריטריונים!$B$3),Nov!J89,"")</f>
        <v/>
      </c>
      <c r="G88" s="113" t="str">
        <f>IF(AND(ABS(Nov!F89)&gt;קריטריונים!$B$1,Nov!B89&gt;קריטריונים!$B$3),Nov!F89,"")</f>
        <v/>
      </c>
      <c r="H88" s="113" t="str">
        <f>IF(AND(ABS(Nov!E89)&gt;קריטריונים!$B$1,Nov!B89&gt;קריטריונים!$B$3),Nov!E89,"")</f>
        <v/>
      </c>
      <c r="I88" s="113" t="str">
        <f>IF(AND(ABS(Oct!K89)&gt;קריטריונים!$B$2,Oct!B89&gt;קריטריונים!$B$3),Oct!K89,"")</f>
        <v/>
      </c>
      <c r="J88" s="113" t="str">
        <f>IF(AND(ABS(Oct!J89)&gt;קריטריונים!$B$2,Oct!B89&gt;קריטריונים!$B$3),Oct!J89,"")</f>
        <v/>
      </c>
      <c r="K88" s="113" t="str">
        <f>IF(AND(ABS(Oct!F89)&gt;קריטריונים!$B$1,Oct!B89&gt;קריטריונים!$B$3),Oct!F89,"")</f>
        <v/>
      </c>
      <c r="L88" s="113" t="str">
        <f>IF(AND(ABS(Oct!E89)&gt;קריטריונים!$B$1,Oct!B89&gt;קריטריונים!$B$3),Oct!E89,"")</f>
        <v/>
      </c>
      <c r="M88" s="113" t="str">
        <f>IF(AND(ABS(Sep!K89)&gt;קריטריונים!$B$2,Sep!B89&gt;קריטריונים!$B$3),Sep!K89,"")</f>
        <v/>
      </c>
      <c r="N88" s="113" t="str">
        <f>IF(AND(ABS(Sep!J89)&gt;קריטריונים!$B$2,Sep!B89&gt;קריטריונים!$B$3),Sep!J89,"")</f>
        <v/>
      </c>
      <c r="O88" s="113" t="str">
        <f>IF(AND(ABS(Sep!F89)&gt;קריטריונים!$B$1,Sep!B89&gt;קריטריונים!$B$3),Sep!F89,"")</f>
        <v/>
      </c>
      <c r="P88" s="113" t="str">
        <f>IF(AND(ABS(Sep!E89)&gt;קריטריונים!$B$1,Sep!B89&gt;קריטריונים!$B$3),Sep!E89,"")</f>
        <v/>
      </c>
      <c r="Q88" s="113" t="str">
        <f>IF(AND(ABS(Aug!K89)&gt;קריטריונים!$B$2,Aug!B89&gt;קריטריונים!$B$3),Aug!K89,"")</f>
        <v/>
      </c>
      <c r="R88" s="113" t="str">
        <f>IF(AND(ABS(Aug!J89)&gt;קריטריונים!$B$2,Aug!B89&gt;קריטריונים!$B$3),Aug!J89,"")</f>
        <v/>
      </c>
      <c r="S88" s="113" t="str">
        <f>IF(AND(ABS(Aug!F89)&gt;קריטריונים!$B$1,Aug!B89&gt;קריטריונים!$B$3),Aug!F89,"")</f>
        <v/>
      </c>
      <c r="T88" s="113" t="str">
        <f>IF(AND(ABS(Aug!E89)&gt;קריטריונים!$B$1,Aug!B89&gt;קריטריונים!$B$3),Aug!E89,"")</f>
        <v/>
      </c>
      <c r="U88" s="113" t="str">
        <f>IF(AND(ABS(Jul!K89)&gt;קריטריונים!$B$2,Jul!B89&gt;קריטריונים!$B$3),Jul!K89,"")</f>
        <v/>
      </c>
      <c r="V88" s="113" t="str">
        <f>IF(AND(ABS(Jul!J89)&gt;קריטריונים!$B$2,Jul!B89&gt;קריטריונים!$B$3),Jul!J89,"")</f>
        <v/>
      </c>
      <c r="W88" s="113" t="str">
        <f>IF(AND(ABS(Jul!F89)&gt;קריטריונים!$B$1,Jul!B89&gt;קריטריונים!$B$3),Jul!F89,"")</f>
        <v/>
      </c>
      <c r="X88" s="113" t="str">
        <f>IF(AND(ABS(Jul!E89)&gt;קריטריונים!$B$1,Jul!B89&gt;קריטריונים!$B$3),Jul!E89,"")</f>
        <v/>
      </c>
      <c r="Y88" s="113" t="str">
        <f>IF(AND(ABS(Jun!K89)&gt;קריטריונים!$B$2,Jun!B89&gt;קריטריונים!$B$3),Jun!K89,"")</f>
        <v/>
      </c>
      <c r="Z88" s="113" t="str">
        <f>IF(AND(ABS(Jun!J89)&gt;קריטריונים!$B$2,Jun!B89&gt;קריטריונים!$B$3),Jun!J89,"")</f>
        <v/>
      </c>
      <c r="AA88" s="113" t="str">
        <f>IF(AND(ABS(Jun!F89)&gt;קריטריונים!$B$1,Jun!B89&gt;קריטריונים!$B$3),Jun!F89,"")</f>
        <v/>
      </c>
      <c r="AB88" s="113" t="str">
        <f>IF(AND(ABS(Jun!E89)&gt;קריטריונים!$B$1,Jun!B89&gt;קריטריונים!$B$3),Jun!E89,"")</f>
        <v/>
      </c>
      <c r="AC88" s="113" t="str">
        <f>IF(AND(ABS(May!K89)&gt;קריטריונים!$B$2,May!B89&gt;קריטריונים!$B$3),May!K89,"")</f>
        <v/>
      </c>
      <c r="AD88" s="113" t="str">
        <f>IF(AND(ABS(May!J89)&gt;קריטריונים!$B$2,May!B89&gt;קריטריונים!$B$3),May!J89,"")</f>
        <v/>
      </c>
      <c r="AE88" s="113" t="str">
        <f>IF(AND(ABS(May!F89)&gt;קריטריונים!$B$1,May!B89&gt;קריטריונים!$B$3),May!F89,"")</f>
        <v/>
      </c>
      <c r="AF88" s="113" t="str">
        <f>IF(AND(ABS(May!E89)&gt;קריטריונים!$B$1,May!B89&gt;קריטריונים!$B$3),May!E89,"")</f>
        <v/>
      </c>
      <c r="AG88" s="113" t="str">
        <f>IF(AND(ABS(Apr!K89)&gt;קריטריונים!$B$2,Apr!B89&gt;קריטריונים!$B$3),Apr!K89,"")</f>
        <v/>
      </c>
      <c r="AH88" s="113" t="str">
        <f>IF(AND(ABS(Apr!J89)&gt;קריטריונים!$B$2,Apr!B89&gt;קריטריונים!$B$3),Apr!J89,"")</f>
        <v/>
      </c>
      <c r="AI88" s="113" t="str">
        <f>IF(AND(ABS(Apr!F89)&gt;קריטריונים!$B$1,Apr!B89&gt;קריטריונים!$B$3),Apr!F89,"")</f>
        <v/>
      </c>
      <c r="AJ88" s="113" t="str">
        <f>IF(AND(ABS(Apr!E89)&gt;קריטריונים!$B$1,Apr!B89&gt;קריטריונים!$B$3),Apr!E89,"")</f>
        <v/>
      </c>
      <c r="AK88" s="113" t="str">
        <f>IF(AND(ABS(Mar!K89)&gt;קריטריונים!$B$2,Mar!B89&gt;קריטריונים!$B$3),Mar!K89,"")</f>
        <v/>
      </c>
      <c r="AL88" s="113" t="str">
        <f>IF(AND(ABS(Mar!J89)&gt;קריטריונים!$B$2,Mar!B89&gt;קריטריונים!$B$3),Mar!J89,"")</f>
        <v/>
      </c>
      <c r="AM88" s="113" t="str">
        <f>IF(AND(ABS(Mar!F89)&gt;קריטריונים!$B$1,Mar!B89&gt;קריטריונים!$B$3),Mar!F89,"")</f>
        <v/>
      </c>
      <c r="AN88" s="113" t="str">
        <f>IF(AND(ABS(Mar!E89)&gt;קריטריונים!$B$1,Mar!B89&gt;קריטריונים!$B$3),Mar!E89,"")</f>
        <v/>
      </c>
      <c r="AO88" s="113" t="str">
        <f>IF(AND(ABS(Feb!K89)&gt;קריטריונים!$B$2,Feb!B89&gt;קריטריונים!$B$3),Feb!K89,"")</f>
        <v/>
      </c>
      <c r="AP88" s="113" t="str">
        <f>IF(AND(ABS(Feb!J89)&gt;קריטריונים!$B$2,Feb!B89&gt;קריטריונים!$B$3),Feb!J89,"")</f>
        <v/>
      </c>
      <c r="AQ88" s="113" t="str">
        <f>IF(AND(ABS(Feb!F89)&gt;קריטריונים!$B$1,Feb!B89&gt;קריטריונים!$B$3),Feb!F89,"")</f>
        <v/>
      </c>
      <c r="AR88" s="113" t="str">
        <f>IF(AND(ABS(Feb!G89)&gt;קריטריונים!$B$1,Feb!C89&gt;קריטריונים!$B$3),Feb!G89,"")</f>
        <v/>
      </c>
      <c r="AS88" s="113" t="str">
        <f>IF(AND(ABS(Feb!H89)&gt;קריטריונים!$B$1,Feb!D89&gt;קריטריונים!$B$3),Feb!H89,"")</f>
        <v/>
      </c>
      <c r="AT88" s="103" t="str">
        <f>IF(AND(ABS(Jan!E89)&gt;קריטריונים!$B$1,Jan!B89&gt;קריטריונים!$B$3),Jan!E89,"")</f>
        <v/>
      </c>
      <c r="AU88" s="118" t="s">
        <v>75</v>
      </c>
    </row>
    <row r="89" spans="1:47">
      <c r="A89" s="112" t="str">
        <f>IF(AND(ABS(Dec!K90)&gt;קריטריונים!$B$2,Dec!B90&gt;קריטריונים!$B$3),Dec!K90,"")</f>
        <v/>
      </c>
      <c r="B89" s="113" t="str">
        <f>IF(AND(ABS(Dec!J90)&gt;קריטריונים!$B$2,Dec!B90&gt;קריטריונים!$B$3),Dec!J90,"")</f>
        <v/>
      </c>
      <c r="C89" s="113" t="str">
        <f>IF(AND(ABS(Dec!F90)&gt;קריטריונים!$B$1,Dec!B90&gt;קריטריונים!$B$3),Dec!F90,"")</f>
        <v/>
      </c>
      <c r="D89" s="113" t="str">
        <f>IF(AND(ABS(Dec!E90)&gt;קריטריונים!$B$1,Dec!B90&gt;קריטריונים!$B$3),Dec!E90,"")</f>
        <v/>
      </c>
      <c r="E89" s="113" t="str">
        <f>IF(AND(ABS(Nov!K90)&gt;קריטריונים!$B$2,Nov!B90&gt;קריטריונים!$B$3),Nov!K90,"")</f>
        <v/>
      </c>
      <c r="F89" s="113" t="str">
        <f>IF(AND(ABS(Nov!J90)&gt;קריטריונים!$B$2,Nov!B90&gt;קריטריונים!$B$3),Nov!J90,"")</f>
        <v/>
      </c>
      <c r="G89" s="113" t="str">
        <f>IF(AND(ABS(Nov!F90)&gt;קריטריונים!$B$1,Nov!B90&gt;קריטריונים!$B$3),Nov!F90,"")</f>
        <v/>
      </c>
      <c r="H89" s="113" t="str">
        <f>IF(AND(ABS(Nov!E90)&gt;קריטריונים!$B$1,Nov!B90&gt;קריטריונים!$B$3),Nov!E90,"")</f>
        <v/>
      </c>
      <c r="I89" s="113" t="str">
        <f>IF(AND(ABS(Oct!K90)&gt;קריטריונים!$B$2,Oct!B90&gt;קריטריונים!$B$3),Oct!K90,"")</f>
        <v/>
      </c>
      <c r="J89" s="113" t="str">
        <f>IF(AND(ABS(Oct!J90)&gt;קריטריונים!$B$2,Oct!B90&gt;קריטריונים!$B$3),Oct!J90,"")</f>
        <v/>
      </c>
      <c r="K89" s="113" t="str">
        <f>IF(AND(ABS(Oct!F90)&gt;קריטריונים!$B$1,Oct!B90&gt;קריטריונים!$B$3),Oct!F90,"")</f>
        <v/>
      </c>
      <c r="L89" s="113" t="str">
        <f>IF(AND(ABS(Oct!E90)&gt;קריטריונים!$B$1,Oct!B90&gt;קריטריונים!$B$3),Oct!E90,"")</f>
        <v/>
      </c>
      <c r="M89" s="113" t="str">
        <f>IF(AND(ABS(Sep!K90)&gt;קריטריונים!$B$2,Sep!B90&gt;קריטריונים!$B$3),Sep!K90,"")</f>
        <v/>
      </c>
      <c r="N89" s="113" t="str">
        <f>IF(AND(ABS(Sep!J90)&gt;קריטריונים!$B$2,Sep!B90&gt;קריטריונים!$B$3),Sep!J90,"")</f>
        <v/>
      </c>
      <c r="O89" s="113" t="str">
        <f>IF(AND(ABS(Sep!F90)&gt;קריטריונים!$B$1,Sep!B90&gt;קריטריונים!$B$3),Sep!F90,"")</f>
        <v/>
      </c>
      <c r="P89" s="113" t="str">
        <f>IF(AND(ABS(Sep!E90)&gt;קריטריונים!$B$1,Sep!B90&gt;קריטריונים!$B$3),Sep!E90,"")</f>
        <v/>
      </c>
      <c r="Q89" s="113" t="str">
        <f>IF(AND(ABS(Aug!K90)&gt;קריטריונים!$B$2,Aug!B90&gt;קריטריונים!$B$3),Aug!K90,"")</f>
        <v/>
      </c>
      <c r="R89" s="113" t="str">
        <f>IF(AND(ABS(Aug!J90)&gt;קריטריונים!$B$2,Aug!B90&gt;קריטריונים!$B$3),Aug!J90,"")</f>
        <v/>
      </c>
      <c r="S89" s="113" t="str">
        <f>IF(AND(ABS(Aug!F90)&gt;קריטריונים!$B$1,Aug!B90&gt;קריטריונים!$B$3),Aug!F90,"")</f>
        <v/>
      </c>
      <c r="T89" s="113" t="str">
        <f>IF(AND(ABS(Aug!E90)&gt;קריטריונים!$B$1,Aug!B90&gt;קריטריונים!$B$3),Aug!E90,"")</f>
        <v/>
      </c>
      <c r="U89" s="113" t="str">
        <f>IF(AND(ABS(Jul!K90)&gt;קריטריונים!$B$2,Jul!B90&gt;קריטריונים!$B$3),Jul!K90,"")</f>
        <v/>
      </c>
      <c r="V89" s="113" t="str">
        <f>IF(AND(ABS(Jul!J90)&gt;קריטריונים!$B$2,Jul!B90&gt;קריטריונים!$B$3),Jul!J90,"")</f>
        <v/>
      </c>
      <c r="W89" s="113" t="str">
        <f>IF(AND(ABS(Jul!F90)&gt;קריטריונים!$B$1,Jul!B90&gt;קריטריונים!$B$3),Jul!F90,"")</f>
        <v/>
      </c>
      <c r="X89" s="113" t="str">
        <f>IF(AND(ABS(Jul!E90)&gt;קריטריונים!$B$1,Jul!B90&gt;קריטריונים!$B$3),Jul!E90,"")</f>
        <v/>
      </c>
      <c r="Y89" s="113" t="str">
        <f>IF(AND(ABS(Jun!K90)&gt;קריטריונים!$B$2,Jun!B90&gt;קריטריונים!$B$3),Jun!K90,"")</f>
        <v/>
      </c>
      <c r="Z89" s="113" t="str">
        <f>IF(AND(ABS(Jun!J90)&gt;קריטריונים!$B$2,Jun!B90&gt;קריטריונים!$B$3),Jun!J90,"")</f>
        <v/>
      </c>
      <c r="AA89" s="113" t="str">
        <f>IF(AND(ABS(Jun!F90)&gt;קריטריונים!$B$1,Jun!B90&gt;קריטריונים!$B$3),Jun!F90,"")</f>
        <v/>
      </c>
      <c r="AB89" s="113" t="str">
        <f>IF(AND(ABS(Jun!E90)&gt;קריטריונים!$B$1,Jun!B90&gt;קריטריונים!$B$3),Jun!E90,"")</f>
        <v/>
      </c>
      <c r="AC89" s="113" t="str">
        <f>IF(AND(ABS(May!K90)&gt;קריטריונים!$B$2,May!B90&gt;קריטריונים!$B$3),May!K90,"")</f>
        <v/>
      </c>
      <c r="AD89" s="113" t="str">
        <f>IF(AND(ABS(May!J90)&gt;קריטריונים!$B$2,May!B90&gt;קריטריונים!$B$3),May!J90,"")</f>
        <v/>
      </c>
      <c r="AE89" s="113" t="str">
        <f>IF(AND(ABS(May!F90)&gt;קריטריונים!$B$1,May!B90&gt;קריטריונים!$B$3),May!F90,"")</f>
        <v/>
      </c>
      <c r="AF89" s="113" t="str">
        <f>IF(AND(ABS(May!E90)&gt;קריטריונים!$B$1,May!B90&gt;קריטריונים!$B$3),May!E90,"")</f>
        <v/>
      </c>
      <c r="AG89" s="113" t="str">
        <f>IF(AND(ABS(Apr!K90)&gt;קריטריונים!$B$2,Apr!B90&gt;קריטריונים!$B$3),Apr!K90,"")</f>
        <v/>
      </c>
      <c r="AH89" s="113" t="str">
        <f>IF(AND(ABS(Apr!J90)&gt;קריטריונים!$B$2,Apr!B90&gt;קריטריונים!$B$3),Apr!J90,"")</f>
        <v/>
      </c>
      <c r="AI89" s="113" t="str">
        <f>IF(AND(ABS(Apr!F90)&gt;קריטריונים!$B$1,Apr!B90&gt;קריטריונים!$B$3),Apr!F90,"")</f>
        <v/>
      </c>
      <c r="AJ89" s="113" t="str">
        <f>IF(AND(ABS(Apr!E90)&gt;קריטריונים!$B$1,Apr!B90&gt;קריטריונים!$B$3),Apr!E90,"")</f>
        <v/>
      </c>
      <c r="AK89" s="113" t="str">
        <f>IF(AND(ABS(Mar!K90)&gt;קריטריונים!$B$2,Mar!B90&gt;קריטריונים!$B$3),Mar!K90,"")</f>
        <v/>
      </c>
      <c r="AL89" s="113" t="str">
        <f>IF(AND(ABS(Mar!J90)&gt;קריטריונים!$B$2,Mar!B90&gt;קריטריונים!$B$3),Mar!J90,"")</f>
        <v/>
      </c>
      <c r="AM89" s="113" t="str">
        <f>IF(AND(ABS(Mar!F90)&gt;קריטריונים!$B$1,Mar!B90&gt;קריטריונים!$B$3),Mar!F90,"")</f>
        <v/>
      </c>
      <c r="AN89" s="113" t="str">
        <f>IF(AND(ABS(Mar!E90)&gt;קריטריונים!$B$1,Mar!B90&gt;קריטריונים!$B$3),Mar!E90,"")</f>
        <v/>
      </c>
      <c r="AO89" s="113" t="str">
        <f>IF(AND(ABS(Feb!K90)&gt;קריטריונים!$B$2,Feb!B90&gt;קריטריונים!$B$3),Feb!K90,"")</f>
        <v/>
      </c>
      <c r="AP89" s="113" t="str">
        <f>IF(AND(ABS(Feb!J90)&gt;קריטריונים!$B$2,Feb!B90&gt;קריטריונים!$B$3),Feb!J90,"")</f>
        <v/>
      </c>
      <c r="AQ89" s="113" t="str">
        <f>IF(AND(ABS(Feb!F90)&gt;קריטריונים!$B$1,Feb!B90&gt;קריטריונים!$B$3),Feb!F90,"")</f>
        <v/>
      </c>
      <c r="AR89" s="113" t="str">
        <f>IF(AND(ABS(Feb!G90)&gt;קריטריונים!$B$1,Feb!C90&gt;קריטריונים!$B$3),Feb!G90,"")</f>
        <v/>
      </c>
      <c r="AS89" s="113" t="str">
        <f>IF(AND(ABS(Feb!H90)&gt;קריטריונים!$B$1,Feb!D90&gt;קריטריונים!$B$3),Feb!H90,"")</f>
        <v/>
      </c>
      <c r="AT89" s="103" t="str">
        <f>IF(AND(ABS(Jan!E90)&gt;קריטריונים!$B$1,Jan!B90&gt;קריטריונים!$B$3),Jan!E90,"")</f>
        <v/>
      </c>
      <c r="AU89" s="118"/>
    </row>
    <row r="90" spans="1:47">
      <c r="A90" s="112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 t="str">
        <f>IF(AND(ABS(Feb!G91)&gt;קריטריונים!$B$1,Feb!C91&gt;קריטריונים!$B$3),Feb!G91,"")</f>
        <v/>
      </c>
      <c r="AS90" s="113" t="str">
        <f>IF(AND(ABS(Feb!H91)&gt;קריטריונים!$B$1,Feb!D91&gt;קריטריונים!$B$3),Feb!H91,"")</f>
        <v/>
      </c>
      <c r="AT90" s="103">
        <f>IF(AND(ABS(Jan!E91)&gt;קריטריונים!$B$1,Jan!B91&gt;קריטריונים!$B$3),Jan!E91,"")</f>
        <v>0.11209964412811368</v>
      </c>
      <c r="AU90" s="118" t="s">
        <v>76</v>
      </c>
    </row>
    <row r="91" spans="1:47">
      <c r="A91" s="112" t="str">
        <f>IF(AND(ABS(Dec!K92)&gt;קריטריונים!$B$2,Dec!B92&gt;קריטריונים!$B$3),Dec!K92,"")</f>
        <v/>
      </c>
      <c r="B91" s="113" t="str">
        <f>IF(AND(ABS(Dec!J92)&gt;קריטריונים!$B$2,Dec!B92&gt;קריטריונים!$B$3),Dec!J92,"")</f>
        <v/>
      </c>
      <c r="C91" s="113" t="str">
        <f>IF(AND(ABS(Dec!F92)&gt;קריטריונים!$B$1,Dec!B92&gt;קריטריונים!$B$3),Dec!F92,"")</f>
        <v/>
      </c>
      <c r="D91" s="113" t="str">
        <f>IF(AND(ABS(Dec!E92)&gt;קריטריונים!$B$1,Dec!B92&gt;קריטריונים!$B$3),Dec!E92,"")</f>
        <v/>
      </c>
      <c r="E91" s="113">
        <f>IF(AND(ABS(Nov!K92)&gt;קריטריונים!$B$2,Nov!B92&gt;קריטריונים!$B$3),Nov!K92,"")</f>
        <v>0.38803445093817301</v>
      </c>
      <c r="F91" s="113">
        <f>IF(AND(ABS(Nov!J92)&gt;קריטריונים!$B$2,Nov!B92&gt;קריטריונים!$B$3),Nov!J92,"")</f>
        <v>0.37325015216068169</v>
      </c>
      <c r="G91" s="113">
        <f>IF(AND(ABS(Nov!F92)&gt;קריטריונים!$B$1,Nov!B92&gt;קריטריונים!$B$3),Nov!F92,"")</f>
        <v>0.46809712027103334</v>
      </c>
      <c r="H91" s="113">
        <f>IF(AND(ABS(Nov!E92)&gt;קריטריונים!$B$1,Nov!B92&gt;קריטריונים!$B$3),Nov!E92,"")</f>
        <v>5.3057918185500208E-2</v>
      </c>
      <c r="I91" s="113">
        <f>IF(AND(ABS(Oct!K92)&gt;קריטריונים!$B$2,Oct!B92&gt;קריטריונים!$B$3),Oct!K92,"")</f>
        <v>0.38218426372900938</v>
      </c>
      <c r="J91" s="113">
        <f>IF(AND(ABS(Oct!J92)&gt;קריטריונים!$B$2,Oct!B92&gt;קריטריונים!$B$3),Oct!J92,"")</f>
        <v>0.40644023678575936</v>
      </c>
      <c r="K91" s="113">
        <f>IF(AND(ABS(Oct!F92)&gt;קריטריונים!$B$1,Oct!B92&gt;קריטריונים!$B$3),Oct!F92,"")</f>
        <v>1.1788990825688073</v>
      </c>
      <c r="L91" s="113">
        <f>IF(AND(ABS(Oct!E92)&gt;קריטריונים!$B$1,Oct!B92&gt;קריטריונים!$B$3),Oct!E92,"")</f>
        <v>1.6810912511759173</v>
      </c>
      <c r="M91" s="113">
        <f>IF(AND(ABS(Sep!K92)&gt;קריטריונים!$B$2,Sep!B92&gt;קריטריונים!$B$3),Sep!K92,"")</f>
        <v>0.28578696637528345</v>
      </c>
      <c r="N91" s="113">
        <f>IF(AND(ABS(Sep!J92)&gt;קריטריונים!$B$2,Sep!B92&gt;קריטריונים!$B$3),Sep!J92,"")</f>
        <v>0.28151938413313071</v>
      </c>
      <c r="O91" s="113">
        <f>IF(AND(ABS(Sep!F92)&gt;קריטריונים!$B$1,Sep!B92&gt;קריטריונים!$B$3),Sep!F92,"")</f>
        <v>0.15291262135922334</v>
      </c>
      <c r="P91" s="113">
        <f>IF(AND(ABS(Sep!E92)&gt;קריטריונים!$B$1,Sep!B92&gt;קריטריונים!$B$3),Sep!E92,"")</f>
        <v>2.8416779431664319E-2</v>
      </c>
      <c r="Q91" s="113">
        <f>IF(AND(ABS(Aug!K92)&gt;קריטריונים!$B$2,Aug!B92&gt;קריטריונים!$B$3),Aug!K92,"")</f>
        <v>0.3096862210095499</v>
      </c>
      <c r="R91" s="113">
        <f>IF(AND(ABS(Aug!J92)&gt;קריטריונים!$B$2,Aug!B92&gt;קריטריונים!$B$3),Aug!J92,"")</f>
        <v>0.33348149794421622</v>
      </c>
      <c r="S91" s="113">
        <f>IF(AND(ABS(Aug!F92)&gt;קריטריונים!$B$1,Aug!B92&gt;קריטריונים!$B$3),Aug!F92,"")</f>
        <v>0.22275385433280159</v>
      </c>
      <c r="T91" s="113">
        <f>IF(AND(ABS(Aug!E92)&gt;קריטריונים!$B$1,Aug!B92&gt;קריטריונים!$B$3),Aug!E92,"")</f>
        <v>0.48195876288659778</v>
      </c>
      <c r="U91" s="113">
        <f>IF(AND(ABS(Jul!K92)&gt;קריטריונים!$B$2,Jul!B92&gt;קריטריונים!$B$3),Jul!K92,"")</f>
        <v>0.184174624829468</v>
      </c>
      <c r="V91" s="113">
        <f>IF(AND(ABS(Jul!J92)&gt;קריטריונים!$B$2,Jul!B92&gt;קריטריונים!$B$3),Jul!J92,"")</f>
        <v>0.3194697798856867</v>
      </c>
      <c r="W91" s="113">
        <f>IF(AND(ABS(Jul!F92)&gt;קריטריונים!$B$1,Jul!B92&gt;קריטריונים!$B$3),Jul!F92,"")</f>
        <v>0.43721633888048395</v>
      </c>
      <c r="X91" s="113">
        <f>IF(AND(ABS(Jul!E92)&gt;קריטריונים!$B$1,Jul!B92&gt;קריטריונים!$B$3),Jul!E92,"")</f>
        <v>0.21096239643084758</v>
      </c>
      <c r="Y91" s="113">
        <f>IF(AND(ABS(Jun!K92)&gt;קריטריונים!$B$2,Jun!B92&gt;קריטריונים!$B$3),Jun!K92,"")</f>
        <v>0.13255298956026573</v>
      </c>
      <c r="Z91" s="113">
        <f>IF(AND(ABS(Jun!J92)&gt;קריטריונים!$B$2,Jun!B92&gt;קריטריונים!$B$3),Jun!J92,"")</f>
        <v>0.34505560565073634</v>
      </c>
      <c r="AA91" s="113">
        <f>IF(AND(ABS(Jun!F92)&gt;קריטריונים!$B$1,Jun!B92&gt;קריטריונים!$B$3),Jun!F92,"")</f>
        <v>0.32145052243392747</v>
      </c>
      <c r="AB91" s="113">
        <f>IF(AND(ABS(Jun!E92)&gt;קריטריונים!$B$1,Jun!B92&gt;קריטריונים!$B$3),Jun!E92,"")</f>
        <v>0.45713317519484908</v>
      </c>
      <c r="AC91" s="113">
        <f>IF(AND(ABS(May!K92)&gt;קריטריונים!$B$2,May!B92&gt;קריטריונים!$B$3),May!K92,"")</f>
        <v>0.28958846956191908</v>
      </c>
      <c r="AD91" s="113">
        <f>IF(AND(ABS(May!J92)&gt;קריטריונים!$B$2,May!B92&gt;קריטריונים!$B$3),May!J92,"")</f>
        <v>0.31312156029738336</v>
      </c>
      <c r="AE91" s="113">
        <f>IF(AND(ABS(May!F92)&gt;קריטריונים!$B$1,May!B92&gt;קריטריונים!$B$3),May!F92,"")</f>
        <v>0.30742049469964661</v>
      </c>
      <c r="AF91" s="113">
        <f>IF(AND(ABS(May!E92)&gt;קריטריונים!$B$1,May!B92&gt;קריטריונים!$B$3),May!E92,"")</f>
        <v>0.25594025797691788</v>
      </c>
      <c r="AG91" s="113">
        <f>IF(AND(ABS(Apr!K92)&gt;קריטריונים!$B$2,Apr!B92&gt;קריטריונים!$B$3),Apr!K92,"")</f>
        <v>0.28304821150855353</v>
      </c>
      <c r="AH91" s="113">
        <f>IF(AND(ABS(Apr!J92)&gt;קריטריונים!$B$2,Apr!B92&gt;קריטריונים!$B$3),Apr!J92,"")</f>
        <v>0.33585211172581286</v>
      </c>
      <c r="AI91" s="113">
        <f>IF(AND(ABS(Apr!F92)&gt;קריטריונים!$B$1,Apr!B92&gt;קריטריונים!$B$3),Apr!F92,"")</f>
        <v>0.54287764621456769</v>
      </c>
      <c r="AJ91" s="113">
        <f>IF(AND(ABS(Apr!E92)&gt;קריטריונים!$B$1,Apr!B92&gt;קריטריונים!$B$3),Apr!E92,"")</f>
        <v>0.58554572271386407</v>
      </c>
      <c r="AK91" s="113">
        <f>IF(AND(ABS(Mar!K92)&gt;קריטריונים!$B$2,Mar!B92&gt;קריטריונים!$B$3),Mar!K92,"")</f>
        <v>0.13613308987624251</v>
      </c>
      <c r="AL91" s="113">
        <f>IF(AND(ABS(Mar!J92)&gt;קריטריונים!$B$2,Mar!B92&gt;קריטריונים!$B$3),Mar!J92,"")</f>
        <v>0.19174292402638859</v>
      </c>
      <c r="AM91" s="113">
        <f>IF(AND(ABS(Mar!F92)&gt;קריטריונים!$B$1,Mar!B92&gt;קריטריונים!$B$3),Mar!F92,"")</f>
        <v>4.0160642570281624E-3</v>
      </c>
      <c r="AN91" s="113">
        <f>IF(AND(ABS(Mar!E92)&gt;קריטריונים!$B$1,Mar!B92&gt;קריטריונים!$B$3),Mar!E92,"")</f>
        <v>0.18413262285375964</v>
      </c>
      <c r="AO91" s="113" t="str">
        <f>IF(AND(ABS(Feb!K92)&gt;קריטריונים!$B$2,Feb!B92&gt;קריטריונים!$B$3),Feb!K92,"")</f>
        <v/>
      </c>
      <c r="AP91" s="113" t="str">
        <f>IF(AND(ABS(Feb!J92)&gt;קריטריונים!$B$2,Feb!B92&gt;קריטריונים!$B$3),Feb!J92,"")</f>
        <v/>
      </c>
      <c r="AQ91" s="113" t="str">
        <f>IF(AND(ABS(Feb!F92)&gt;קריטריונים!$B$1,Feb!B92&gt;קריטריונים!$B$3),Feb!F92,"")</f>
        <v/>
      </c>
      <c r="AR91" s="113" t="str">
        <f>IF(AND(ABS(Feb!G92)&gt;קריטריונים!$B$1,Feb!C92&gt;קריטריונים!$B$3),Feb!G92,"")</f>
        <v/>
      </c>
      <c r="AS91" s="113" t="str">
        <f>IF(AND(ABS(Feb!H92)&gt;קריטריונים!$B$1,Feb!D92&gt;קריטריונים!$B$3),Feb!H92,"")</f>
        <v/>
      </c>
      <c r="AT91" s="103">
        <f>IF(AND(ABS(Jan!E92)&gt;קריטריונים!$B$1,Jan!B92&gt;קריטריונים!$B$3),Jan!E92,"")</f>
        <v>0.18191161356628971</v>
      </c>
      <c r="AU91" s="118" t="s">
        <v>77</v>
      </c>
    </row>
    <row r="92" spans="1:47">
      <c r="A92" s="112" t="str">
        <f>IF(AND(ABS(Dec!K93)&gt;קריטריונים!$B$2,Dec!B93&gt;קריטריונים!$B$3),Dec!K93,"")</f>
        <v/>
      </c>
      <c r="B92" s="113" t="str">
        <f>IF(AND(ABS(Dec!J93)&gt;קריטריונים!$B$2,Dec!B93&gt;קריטריונים!$B$3),Dec!J93,"")</f>
        <v/>
      </c>
      <c r="C92" s="113" t="str">
        <f>IF(AND(ABS(Dec!F93)&gt;קריטריונים!$B$1,Dec!B93&gt;קריטריונים!$B$3),Dec!F93,"")</f>
        <v/>
      </c>
      <c r="D92" s="113" t="str">
        <f>IF(AND(ABS(Dec!E93)&gt;קריטריונים!$B$1,Dec!B93&gt;קריטריונים!$B$3),Dec!E93,"")</f>
        <v/>
      </c>
      <c r="E92" s="113" t="str">
        <f>IF(AND(ABS(Nov!K93)&gt;קריטריונים!$B$2,Nov!B93&gt;קריטריונים!$B$3),Nov!K93,"")</f>
        <v/>
      </c>
      <c r="F92" s="113" t="str">
        <f>IF(AND(ABS(Nov!J93)&gt;קריטריונים!$B$2,Nov!B93&gt;קריטריונים!$B$3),Nov!J93,"")</f>
        <v/>
      </c>
      <c r="G92" s="113" t="str">
        <f>IF(AND(ABS(Nov!F93)&gt;קריטריונים!$B$1,Nov!B93&gt;קריטריונים!$B$3),Nov!F93,"")</f>
        <v/>
      </c>
      <c r="H92" s="113" t="str">
        <f>IF(AND(ABS(Nov!E93)&gt;קריטריונים!$B$1,Nov!B93&gt;קריטריונים!$B$3),Nov!E93,"")</f>
        <v/>
      </c>
      <c r="I92" s="113" t="str">
        <f>IF(AND(ABS(Oct!K93)&gt;קריטריונים!$B$2,Oct!B93&gt;קריטריונים!$B$3),Oct!K93,"")</f>
        <v/>
      </c>
      <c r="J92" s="113" t="str">
        <f>IF(AND(ABS(Oct!J93)&gt;קריטריונים!$B$2,Oct!B93&gt;קריטריונים!$B$3),Oct!J93,"")</f>
        <v/>
      </c>
      <c r="K92" s="113" t="str">
        <f>IF(AND(ABS(Oct!F93)&gt;קריטריונים!$B$1,Oct!B93&gt;קריטריונים!$B$3),Oct!F93,"")</f>
        <v/>
      </c>
      <c r="L92" s="113" t="str">
        <f>IF(AND(ABS(Oct!E93)&gt;קריטריונים!$B$1,Oct!B93&gt;קריטריונים!$B$3),Oct!E93,"")</f>
        <v/>
      </c>
      <c r="M92" s="113" t="str">
        <f>IF(AND(ABS(Sep!K93)&gt;קריטריונים!$B$2,Sep!B93&gt;קריטריונים!$B$3),Sep!K93,"")</f>
        <v/>
      </c>
      <c r="N92" s="113" t="str">
        <f>IF(AND(ABS(Sep!J93)&gt;קריטריונים!$B$2,Sep!B93&gt;קריטריונים!$B$3),Sep!J93,"")</f>
        <v/>
      </c>
      <c r="O92" s="113" t="str">
        <f>IF(AND(ABS(Sep!F93)&gt;קריטריונים!$B$1,Sep!B93&gt;קריטריונים!$B$3),Sep!F93,"")</f>
        <v/>
      </c>
      <c r="P92" s="113" t="str">
        <f>IF(AND(ABS(Sep!E93)&gt;קריטריונים!$B$1,Sep!B93&gt;קריטריונים!$B$3),Sep!E93,"")</f>
        <v/>
      </c>
      <c r="Q92" s="113" t="str">
        <f>IF(AND(ABS(Aug!K93)&gt;קריטריונים!$B$2,Aug!B93&gt;קריטריונים!$B$3),Aug!K93,"")</f>
        <v/>
      </c>
      <c r="R92" s="113" t="str">
        <f>IF(AND(ABS(Aug!J93)&gt;קריטריונים!$B$2,Aug!B93&gt;קריטריונים!$B$3),Aug!J93,"")</f>
        <v/>
      </c>
      <c r="S92" s="113" t="str">
        <f>IF(AND(ABS(Aug!F93)&gt;קריטריונים!$B$1,Aug!B93&gt;קריטריונים!$B$3),Aug!F93,"")</f>
        <v/>
      </c>
      <c r="T92" s="113" t="str">
        <f>IF(AND(ABS(Aug!E93)&gt;קריטריונים!$B$1,Aug!B93&gt;קריטריונים!$B$3),Aug!E93,"")</f>
        <v/>
      </c>
      <c r="U92" s="113" t="str">
        <f>IF(AND(ABS(Jul!K93)&gt;קריטריונים!$B$2,Jul!B93&gt;קריטריונים!$B$3),Jul!K93,"")</f>
        <v/>
      </c>
      <c r="V92" s="113" t="str">
        <f>IF(AND(ABS(Jul!J93)&gt;קריטריונים!$B$2,Jul!B93&gt;קריטריונים!$B$3),Jul!J93,"")</f>
        <v/>
      </c>
      <c r="W92" s="113" t="str">
        <f>IF(AND(ABS(Jul!F93)&gt;קריטריונים!$B$1,Jul!B93&gt;קריטריונים!$B$3),Jul!F93,"")</f>
        <v/>
      </c>
      <c r="X92" s="113" t="str">
        <f>IF(AND(ABS(Jul!E93)&gt;קריטריונים!$B$1,Jul!B93&gt;קריטריונים!$B$3),Jul!E93,"")</f>
        <v/>
      </c>
      <c r="Y92" s="113" t="str">
        <f>IF(AND(ABS(Jun!K93)&gt;קריטריונים!$B$2,Jun!B93&gt;קריטריונים!$B$3),Jun!K93,"")</f>
        <v/>
      </c>
      <c r="Z92" s="113" t="str">
        <f>IF(AND(ABS(Jun!J93)&gt;קריטריונים!$B$2,Jun!B93&gt;קריטריונים!$B$3),Jun!J93,"")</f>
        <v/>
      </c>
      <c r="AA92" s="113" t="str">
        <f>IF(AND(ABS(Jun!F93)&gt;קריטריונים!$B$1,Jun!B93&gt;קריטריונים!$B$3),Jun!F93,"")</f>
        <v/>
      </c>
      <c r="AB92" s="113" t="str">
        <f>IF(AND(ABS(Jun!E93)&gt;קריטריונים!$B$1,Jun!B93&gt;קריטריונים!$B$3),Jun!E93,"")</f>
        <v/>
      </c>
      <c r="AC92" s="113" t="str">
        <f>IF(AND(ABS(May!K93)&gt;קריטריונים!$B$2,May!B93&gt;קריטריונים!$B$3),May!K93,"")</f>
        <v/>
      </c>
      <c r="AD92" s="113" t="str">
        <f>IF(AND(ABS(May!J93)&gt;קריטריונים!$B$2,May!B93&gt;קריטריונים!$B$3),May!J93,"")</f>
        <v/>
      </c>
      <c r="AE92" s="113" t="str">
        <f>IF(AND(ABS(May!F93)&gt;קריטריונים!$B$1,May!B93&gt;קריטריונים!$B$3),May!F93,"")</f>
        <v/>
      </c>
      <c r="AF92" s="113" t="str">
        <f>IF(AND(ABS(May!E93)&gt;קריטריונים!$B$1,May!B93&gt;קריטריונים!$B$3),May!E93,"")</f>
        <v/>
      </c>
      <c r="AG92" s="113" t="str">
        <f>IF(AND(ABS(Apr!K93)&gt;קריטריונים!$B$2,Apr!B93&gt;קריטריונים!$B$3),Apr!K93,"")</f>
        <v/>
      </c>
      <c r="AH92" s="113" t="str">
        <f>IF(AND(ABS(Apr!J93)&gt;קריטריונים!$B$2,Apr!B93&gt;קריטריונים!$B$3),Apr!J93,"")</f>
        <v/>
      </c>
      <c r="AI92" s="113" t="str">
        <f>IF(AND(ABS(Apr!F93)&gt;קריטריונים!$B$1,Apr!B93&gt;קריטריונים!$B$3),Apr!F93,"")</f>
        <v/>
      </c>
      <c r="AJ92" s="113" t="str">
        <f>IF(AND(ABS(Apr!E93)&gt;קריטריונים!$B$1,Apr!B93&gt;קריטריונים!$B$3),Apr!E93,"")</f>
        <v/>
      </c>
      <c r="AK92" s="113" t="str">
        <f>IF(AND(ABS(Mar!K93)&gt;קריטריונים!$B$2,Mar!B93&gt;קריטריונים!$B$3),Mar!K93,"")</f>
        <v/>
      </c>
      <c r="AL92" s="113" t="str">
        <f>IF(AND(ABS(Mar!J93)&gt;קריטריונים!$B$2,Mar!B93&gt;קריטריונים!$B$3),Mar!J93,"")</f>
        <v/>
      </c>
      <c r="AM92" s="113" t="str">
        <f>IF(AND(ABS(Mar!F93)&gt;קריטריונים!$B$1,Mar!B93&gt;קריטריונים!$B$3),Mar!F93,"")</f>
        <v/>
      </c>
      <c r="AN92" s="113" t="str">
        <f>IF(AND(ABS(Mar!E93)&gt;קריטריונים!$B$1,Mar!B93&gt;קריטריונים!$B$3),Mar!E93,"")</f>
        <v/>
      </c>
      <c r="AO92" s="113" t="str">
        <f>IF(AND(ABS(Feb!K93)&gt;קריטריונים!$B$2,Feb!B93&gt;קריטריונים!$B$3),Feb!K93,"")</f>
        <v/>
      </c>
      <c r="AP92" s="113" t="str">
        <f>IF(AND(ABS(Feb!J93)&gt;קריטריונים!$B$2,Feb!B93&gt;קריטריונים!$B$3),Feb!J93,"")</f>
        <v/>
      </c>
      <c r="AQ92" s="113" t="str">
        <f>IF(AND(ABS(Feb!F93)&gt;קריטריונים!$B$1,Feb!B93&gt;קריטריונים!$B$3),Feb!F93,"")</f>
        <v/>
      </c>
      <c r="AR92" s="113" t="str">
        <f>IF(AND(ABS(Feb!G93)&gt;קריטריונים!$B$1,Feb!C93&gt;קריטריונים!$B$3),Feb!G93,"")</f>
        <v/>
      </c>
      <c r="AS92" s="113" t="str">
        <f>IF(AND(ABS(Feb!H93)&gt;קריטריונים!$B$1,Feb!D93&gt;קריטריונים!$B$3),Feb!H93,"")</f>
        <v/>
      </c>
      <c r="AT92" s="103" t="str">
        <f>IF(AND(ABS(Jan!E93)&gt;קריטריונים!$B$1,Jan!B93&gt;קריטריונים!$B$3),Jan!E93,"")</f>
        <v/>
      </c>
      <c r="AU92" s="118" t="s">
        <v>78</v>
      </c>
    </row>
    <row r="93" spans="1:47">
      <c r="A93" s="112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 t="str">
        <f>IF(AND(ABS(Feb!G94)&gt;קריטריונים!$B$1,Feb!C94&gt;קריטריונים!$B$3),Feb!G94,"")</f>
        <v/>
      </c>
      <c r="AS93" s="113" t="str">
        <f>IF(AND(ABS(Feb!H94)&gt;קריטריונים!$B$1,Feb!D94&gt;קריטריונים!$B$3),Feb!H94,"")</f>
        <v/>
      </c>
      <c r="AT93" s="103" t="str">
        <f>IF(AND(ABS(Jan!E94)&gt;קריטריונים!$B$1,Jan!B94&gt;קריטריונים!$B$3),Jan!E94,"")</f>
        <v/>
      </c>
      <c r="AU93" s="118" t="s">
        <v>19</v>
      </c>
    </row>
    <row r="94" spans="1:47">
      <c r="A94" s="112" t="str">
        <f>IF(AND(ABS(Dec!K95)&gt;קריטריונים!$B$2,Dec!B95&gt;קריטריונים!$B$3),Dec!K95,"")</f>
        <v/>
      </c>
      <c r="B94" s="113" t="str">
        <f>IF(AND(ABS(Dec!J95)&gt;קריטריונים!$B$2,Dec!B95&gt;קריטריונים!$B$3),Dec!J95,"")</f>
        <v/>
      </c>
      <c r="C94" s="113" t="str">
        <f>IF(AND(ABS(Dec!F95)&gt;קריטריונים!$B$1,Dec!B95&gt;קריטריונים!$B$3),Dec!F95,"")</f>
        <v/>
      </c>
      <c r="D94" s="113" t="str">
        <f>IF(AND(ABS(Dec!E95)&gt;קריטריונים!$B$1,Dec!B95&gt;קריטריונים!$B$3),Dec!E95,"")</f>
        <v/>
      </c>
      <c r="E94" s="113" t="str">
        <f>IF(AND(ABS(Nov!K95)&gt;קריטריונים!$B$2,Nov!B95&gt;קריטריונים!$B$3),Nov!K95,"")</f>
        <v/>
      </c>
      <c r="F94" s="113" t="str">
        <f>IF(AND(ABS(Nov!J95)&gt;קריטריונים!$B$2,Nov!B95&gt;קריטריונים!$B$3),Nov!J95,"")</f>
        <v/>
      </c>
      <c r="G94" s="113" t="str">
        <f>IF(AND(ABS(Nov!F95)&gt;קריטריונים!$B$1,Nov!B95&gt;קריטריונים!$B$3),Nov!F95,"")</f>
        <v/>
      </c>
      <c r="H94" s="113" t="str">
        <f>IF(AND(ABS(Nov!E95)&gt;קריטריונים!$B$1,Nov!B95&gt;קריטריונים!$B$3),Nov!E95,"")</f>
        <v/>
      </c>
      <c r="I94" s="113" t="str">
        <f>IF(AND(ABS(Oct!K95)&gt;קריטריונים!$B$2,Oct!B95&gt;קריטריונים!$B$3),Oct!K95,"")</f>
        <v/>
      </c>
      <c r="J94" s="113" t="str">
        <f>IF(AND(ABS(Oct!J95)&gt;קריטריונים!$B$2,Oct!B95&gt;קריטריונים!$B$3),Oct!J95,"")</f>
        <v/>
      </c>
      <c r="K94" s="113" t="str">
        <f>IF(AND(ABS(Oct!F95)&gt;קריטריונים!$B$1,Oct!B95&gt;קריטריונים!$B$3),Oct!F95,"")</f>
        <v/>
      </c>
      <c r="L94" s="113" t="str">
        <f>IF(AND(ABS(Oct!E95)&gt;קריטריונים!$B$1,Oct!B95&gt;קריטריונים!$B$3),Oct!E95,"")</f>
        <v/>
      </c>
      <c r="M94" s="113" t="str">
        <f>IF(AND(ABS(Sep!K95)&gt;קריטריונים!$B$2,Sep!B95&gt;קריטריונים!$B$3),Sep!K95,"")</f>
        <v/>
      </c>
      <c r="N94" s="113" t="str">
        <f>IF(AND(ABS(Sep!J95)&gt;קריטריונים!$B$2,Sep!B95&gt;קריטריונים!$B$3),Sep!J95,"")</f>
        <v/>
      </c>
      <c r="O94" s="113" t="str">
        <f>IF(AND(ABS(Sep!F95)&gt;קריטריונים!$B$1,Sep!B95&gt;קריטריונים!$B$3),Sep!F95,"")</f>
        <v/>
      </c>
      <c r="P94" s="113" t="str">
        <f>IF(AND(ABS(Sep!E95)&gt;קריטריונים!$B$1,Sep!B95&gt;קריטריונים!$B$3),Sep!E95,"")</f>
        <v/>
      </c>
      <c r="Q94" s="113" t="str">
        <f>IF(AND(ABS(Aug!K95)&gt;קריטריונים!$B$2,Aug!B95&gt;קריטריונים!$B$3),Aug!K95,"")</f>
        <v/>
      </c>
      <c r="R94" s="113" t="str">
        <f>IF(AND(ABS(Aug!J95)&gt;קריטריונים!$B$2,Aug!B95&gt;קריטריונים!$B$3),Aug!J95,"")</f>
        <v/>
      </c>
      <c r="S94" s="113" t="str">
        <f>IF(AND(ABS(Aug!F95)&gt;קריטריונים!$B$1,Aug!B95&gt;קריטריונים!$B$3),Aug!F95,"")</f>
        <v/>
      </c>
      <c r="T94" s="113" t="str">
        <f>IF(AND(ABS(Aug!E95)&gt;קריטריונים!$B$1,Aug!B95&gt;קריטריונים!$B$3),Aug!E95,"")</f>
        <v/>
      </c>
      <c r="U94" s="113" t="str">
        <f>IF(AND(ABS(Jul!K95)&gt;קריטריונים!$B$2,Jul!B95&gt;קריטריונים!$B$3),Jul!K95,"")</f>
        <v/>
      </c>
      <c r="V94" s="113" t="str">
        <f>IF(AND(ABS(Jul!J95)&gt;קריטריונים!$B$2,Jul!B95&gt;קריטריונים!$B$3),Jul!J95,"")</f>
        <v/>
      </c>
      <c r="W94" s="113" t="str">
        <f>IF(AND(ABS(Jul!F95)&gt;קריטריונים!$B$1,Jul!B95&gt;קריטריונים!$B$3),Jul!F95,"")</f>
        <v/>
      </c>
      <c r="X94" s="113" t="str">
        <f>IF(AND(ABS(Jul!E95)&gt;קריטריונים!$B$1,Jul!B95&gt;קריטריונים!$B$3),Jul!E95,"")</f>
        <v/>
      </c>
      <c r="Y94" s="113" t="str">
        <f>IF(AND(ABS(Jun!K95)&gt;קריטריונים!$B$2,Jun!B95&gt;קריטריונים!$B$3),Jun!K95,"")</f>
        <v/>
      </c>
      <c r="Z94" s="113" t="str">
        <f>IF(AND(ABS(Jun!J95)&gt;קריטריונים!$B$2,Jun!B95&gt;קריטריונים!$B$3),Jun!J95,"")</f>
        <v/>
      </c>
      <c r="AA94" s="113" t="str">
        <f>IF(AND(ABS(Jun!F95)&gt;קריטריונים!$B$1,Jun!B95&gt;קריטריונים!$B$3),Jun!F95,"")</f>
        <v/>
      </c>
      <c r="AB94" s="113" t="str">
        <f>IF(AND(ABS(Jun!E95)&gt;קריטריונים!$B$1,Jun!B95&gt;קריטריונים!$B$3),Jun!E95,"")</f>
        <v/>
      </c>
      <c r="AC94" s="113" t="str">
        <f>IF(AND(ABS(May!K95)&gt;קריטריונים!$B$2,May!B95&gt;קריטריונים!$B$3),May!K95,"")</f>
        <v/>
      </c>
      <c r="AD94" s="113" t="str">
        <f>IF(AND(ABS(May!J95)&gt;קריטריונים!$B$2,May!B95&gt;קריטריונים!$B$3),May!J95,"")</f>
        <v/>
      </c>
      <c r="AE94" s="113" t="str">
        <f>IF(AND(ABS(May!F95)&gt;קריטריונים!$B$1,May!B95&gt;קריטריונים!$B$3),May!F95,"")</f>
        <v/>
      </c>
      <c r="AF94" s="113" t="str">
        <f>IF(AND(ABS(May!E95)&gt;קריטריונים!$B$1,May!B95&gt;קריטריונים!$B$3),May!E95,"")</f>
        <v/>
      </c>
      <c r="AG94" s="113" t="str">
        <f>IF(AND(ABS(Apr!K95)&gt;קריטריונים!$B$2,Apr!B95&gt;קריטריונים!$B$3),Apr!K95,"")</f>
        <v/>
      </c>
      <c r="AH94" s="113" t="str">
        <f>IF(AND(ABS(Apr!J95)&gt;קריטריונים!$B$2,Apr!B95&gt;קריטריונים!$B$3),Apr!J95,"")</f>
        <v/>
      </c>
      <c r="AI94" s="113" t="str">
        <f>IF(AND(ABS(Apr!F95)&gt;קריטריונים!$B$1,Apr!B95&gt;קריטריונים!$B$3),Apr!F95,"")</f>
        <v/>
      </c>
      <c r="AJ94" s="113" t="str">
        <f>IF(AND(ABS(Apr!E95)&gt;קריטריונים!$B$1,Apr!B95&gt;קריטריונים!$B$3),Apr!E95,"")</f>
        <v/>
      </c>
      <c r="AK94" s="113" t="str">
        <f>IF(AND(ABS(Mar!K95)&gt;קריטריונים!$B$2,Mar!B95&gt;קריטריונים!$B$3),Mar!K95,"")</f>
        <v/>
      </c>
      <c r="AL94" s="113" t="str">
        <f>IF(AND(ABS(Mar!J95)&gt;קריטריונים!$B$2,Mar!B95&gt;קריטריונים!$B$3),Mar!J95,"")</f>
        <v/>
      </c>
      <c r="AM94" s="113" t="str">
        <f>IF(AND(ABS(Mar!F95)&gt;קריטריונים!$B$1,Mar!B95&gt;קריטריונים!$B$3),Mar!F95,"")</f>
        <v/>
      </c>
      <c r="AN94" s="113" t="str">
        <f>IF(AND(ABS(Mar!E95)&gt;קריטריונים!$B$1,Mar!B95&gt;קריטריונים!$B$3),Mar!E95,"")</f>
        <v/>
      </c>
      <c r="AO94" s="113" t="str">
        <f>IF(AND(ABS(Feb!K95)&gt;קריטריונים!$B$2,Feb!B95&gt;קריטריונים!$B$3),Feb!K95,"")</f>
        <v/>
      </c>
      <c r="AP94" s="113" t="str">
        <f>IF(AND(ABS(Feb!J95)&gt;קריטריונים!$B$2,Feb!B95&gt;קריטריונים!$B$3),Feb!J95,"")</f>
        <v/>
      </c>
      <c r="AQ94" s="113" t="str">
        <f>IF(AND(ABS(Feb!F95)&gt;קריטריונים!$B$1,Feb!B95&gt;קריטריונים!$B$3),Feb!F95,"")</f>
        <v/>
      </c>
      <c r="AR94" s="113" t="str">
        <f>IF(AND(ABS(Feb!G95)&gt;קריטריונים!$B$1,Feb!C95&gt;קריטריונים!$B$3),Feb!G95,"")</f>
        <v/>
      </c>
      <c r="AS94" s="113" t="str">
        <f>IF(AND(ABS(Feb!H95)&gt;קריטריונים!$B$1,Feb!D95&gt;קריטריונים!$B$3),Feb!H95,"")</f>
        <v/>
      </c>
      <c r="AT94" s="103" t="str">
        <f>IF(AND(ABS(Jan!E95)&gt;קריטריונים!$B$1,Jan!B95&gt;קריטריונים!$B$3),Jan!E95,"")</f>
        <v/>
      </c>
      <c r="AU94" s="118"/>
    </row>
    <row r="95" spans="1:47" ht="15.75" thickBot="1">
      <c r="A95" s="114" t="str">
        <f>IF(AND(ABS(Dec!K96)&gt;קריטריונים!$B$2,Dec!B96&gt;קריטריונים!$B$3),Dec!K96,"")</f>
        <v/>
      </c>
      <c r="B95" s="115" t="str">
        <f>IF(AND(ABS(Dec!J96)&gt;קריטריונים!$B$2,Dec!B96&gt;קריטריונים!$B$3),Dec!J96,"")</f>
        <v/>
      </c>
      <c r="C95" s="115" t="str">
        <f>IF(AND(ABS(Dec!F96)&gt;קריטריונים!$B$1,Dec!B96&gt;קריטריונים!$B$3),Dec!F96,"")</f>
        <v/>
      </c>
      <c r="D95" s="115" t="str">
        <f>IF(AND(ABS(Dec!E96)&gt;קריטריונים!$B$1,Dec!B96&gt;קריטריונים!$B$3),Dec!E96,"")</f>
        <v/>
      </c>
      <c r="E95" s="115" t="str">
        <f>IF(AND(ABS(Nov!K96)&gt;קריטריונים!$B$2,Nov!B96&gt;קריטריונים!$B$3),Nov!K96,"")</f>
        <v/>
      </c>
      <c r="F95" s="115" t="str">
        <f>IF(AND(ABS(Nov!J96)&gt;קריטריונים!$B$2,Nov!B96&gt;קריטריונים!$B$3),Nov!J96,"")</f>
        <v/>
      </c>
      <c r="G95" s="115" t="str">
        <f>IF(AND(ABS(Nov!F96)&gt;קריטריונים!$B$1,Nov!B96&gt;קריטריונים!$B$3),Nov!F96,"")</f>
        <v/>
      </c>
      <c r="H95" s="115" t="str">
        <f>IF(AND(ABS(Nov!E96)&gt;קריטריונים!$B$1,Nov!B96&gt;קריטריונים!$B$3),Nov!E96,"")</f>
        <v/>
      </c>
      <c r="I95" s="115" t="str">
        <f>IF(AND(ABS(Oct!K96)&gt;קריטריונים!$B$2,Oct!B96&gt;קריטריונים!$B$3),Oct!K96,"")</f>
        <v/>
      </c>
      <c r="J95" s="115" t="str">
        <f>IF(AND(ABS(Oct!J96)&gt;קריטריונים!$B$2,Oct!B96&gt;קריטריונים!$B$3),Oct!J96,"")</f>
        <v/>
      </c>
      <c r="K95" s="115" t="str">
        <f>IF(AND(ABS(Oct!F96)&gt;קריטריונים!$B$1,Oct!B96&gt;קריטריונים!$B$3),Oct!F96,"")</f>
        <v/>
      </c>
      <c r="L95" s="115" t="str">
        <f>IF(AND(ABS(Oct!E96)&gt;קריטריונים!$B$1,Oct!B96&gt;קריטריונים!$B$3),Oct!E96,"")</f>
        <v/>
      </c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3" t="str">
        <f>IF(AND(ABS(Feb!G96)&gt;קריטריונים!$B$1,Feb!C96&gt;קריטריונים!$B$3),Feb!G96,"")</f>
        <v/>
      </c>
      <c r="AS95" s="113" t="str">
        <f>IF(AND(ABS(Feb!H96)&gt;קריטריונים!$B$1,Feb!D96&gt;קריטריונים!$B$3),Feb!H96,"")</f>
        <v/>
      </c>
      <c r="AT95" s="103" t="str">
        <f>IF(AND(ABS(Jan!E96)&gt;קריטריונים!$B$1,Jan!B96&gt;קריטריונים!$B$3),Jan!E96,"")</f>
        <v/>
      </c>
      <c r="AU95" s="120" t="s">
        <v>79</v>
      </c>
    </row>
    <row r="97" spans="1:47">
      <c r="A97" s="350" t="s">
        <v>122</v>
      </c>
      <c r="B97" s="350"/>
      <c r="C97" s="350"/>
      <c r="D97" s="350"/>
      <c r="E97" s="350" t="s">
        <v>121</v>
      </c>
      <c r="F97" s="350"/>
      <c r="G97" s="350"/>
      <c r="H97" s="350"/>
      <c r="I97" s="350" t="s">
        <v>120</v>
      </c>
      <c r="J97" s="350"/>
      <c r="K97" s="350"/>
      <c r="L97" s="350"/>
      <c r="M97" s="350" t="s">
        <v>119</v>
      </c>
      <c r="N97" s="350"/>
      <c r="O97" s="350"/>
      <c r="P97" s="350"/>
      <c r="Q97" s="350" t="s">
        <v>118</v>
      </c>
      <c r="R97" s="350"/>
      <c r="S97" s="350"/>
      <c r="T97" s="350"/>
      <c r="U97" s="350" t="s">
        <v>117</v>
      </c>
      <c r="V97" s="350"/>
      <c r="W97" s="350"/>
      <c r="X97" s="350"/>
      <c r="Y97" s="350" t="s">
        <v>116</v>
      </c>
      <c r="Z97" s="350"/>
      <c r="AA97" s="350"/>
      <c r="AB97" s="350"/>
      <c r="AC97" s="350" t="s">
        <v>115</v>
      </c>
      <c r="AD97" s="350"/>
      <c r="AE97" s="350"/>
      <c r="AF97" s="350"/>
      <c r="AG97" s="350" t="s">
        <v>114</v>
      </c>
      <c r="AH97" s="350"/>
      <c r="AI97" s="350"/>
      <c r="AJ97" s="350"/>
      <c r="AK97" s="350" t="s">
        <v>113</v>
      </c>
      <c r="AL97" s="350"/>
      <c r="AM97" s="350"/>
      <c r="AN97" s="350"/>
      <c r="AO97" s="350" t="s">
        <v>112</v>
      </c>
      <c r="AP97" s="350"/>
      <c r="AQ97" s="350"/>
      <c r="AR97" s="350"/>
      <c r="AS97" s="350" t="s">
        <v>110</v>
      </c>
      <c r="AT97" s="350"/>
    </row>
    <row r="98" spans="1:47">
      <c r="A98" s="349" t="s">
        <v>111</v>
      </c>
      <c r="B98" s="349"/>
      <c r="C98" s="349" t="s">
        <v>126</v>
      </c>
      <c r="D98" s="349"/>
      <c r="E98" s="349" t="s">
        <v>111</v>
      </c>
      <c r="F98" s="349"/>
      <c r="G98" s="349" t="s">
        <v>126</v>
      </c>
      <c r="H98" s="349"/>
      <c r="I98" s="349" t="s">
        <v>111</v>
      </c>
      <c r="J98" s="349"/>
      <c r="K98" s="349" t="s">
        <v>126</v>
      </c>
      <c r="L98" s="349"/>
      <c r="M98" s="349" t="s">
        <v>111</v>
      </c>
      <c r="N98" s="349"/>
      <c r="O98" s="349" t="s">
        <v>126</v>
      </c>
      <c r="P98" s="349"/>
      <c r="Q98" s="349" t="s">
        <v>111</v>
      </c>
      <c r="R98" s="349"/>
      <c r="S98" s="349" t="s">
        <v>126</v>
      </c>
      <c r="T98" s="349"/>
      <c r="U98" s="349" t="s">
        <v>111</v>
      </c>
      <c r="V98" s="349"/>
      <c r="W98" s="349" t="s">
        <v>126</v>
      </c>
      <c r="X98" s="349"/>
      <c r="Y98" s="349" t="s">
        <v>111</v>
      </c>
      <c r="Z98" s="349"/>
      <c r="AA98" s="349" t="s">
        <v>126</v>
      </c>
      <c r="AB98" s="349"/>
      <c r="AC98" s="349" t="s">
        <v>111</v>
      </c>
      <c r="AD98" s="349"/>
      <c r="AE98" s="349" t="s">
        <v>126</v>
      </c>
      <c r="AF98" s="349"/>
      <c r="AG98" s="349" t="s">
        <v>111</v>
      </c>
      <c r="AH98" s="349"/>
      <c r="AI98" s="349" t="s">
        <v>126</v>
      </c>
      <c r="AJ98" s="349"/>
      <c r="AK98" s="349" t="s">
        <v>111</v>
      </c>
      <c r="AL98" s="349"/>
      <c r="AM98" s="349" t="s">
        <v>126</v>
      </c>
      <c r="AN98" s="349"/>
      <c r="AO98" s="349" t="s">
        <v>111</v>
      </c>
      <c r="AP98" s="349"/>
      <c r="AQ98" s="349" t="s">
        <v>126</v>
      </c>
      <c r="AR98" s="349"/>
      <c r="AS98" s="349" t="s">
        <v>126</v>
      </c>
      <c r="AT98" s="349"/>
    </row>
    <row r="99" spans="1:47">
      <c r="A99" s="189" t="s">
        <v>215</v>
      </c>
      <c r="B99" s="189" t="s">
        <v>214</v>
      </c>
      <c r="C99" s="189" t="s">
        <v>215</v>
      </c>
      <c r="D99" s="189" t="s">
        <v>214</v>
      </c>
      <c r="E99" s="189" t="s">
        <v>215</v>
      </c>
      <c r="F99" s="189" t="s">
        <v>214</v>
      </c>
      <c r="G99" s="189" t="s">
        <v>215</v>
      </c>
      <c r="H99" s="189" t="s">
        <v>214</v>
      </c>
      <c r="I99" s="189" t="s">
        <v>215</v>
      </c>
      <c r="J99" s="189" t="s">
        <v>214</v>
      </c>
      <c r="K99" s="189" t="s">
        <v>215</v>
      </c>
      <c r="L99" s="189" t="s">
        <v>214</v>
      </c>
      <c r="M99" s="189" t="s">
        <v>215</v>
      </c>
      <c r="N99" s="189" t="s">
        <v>214</v>
      </c>
      <c r="O99" s="189" t="s">
        <v>215</v>
      </c>
      <c r="P99" s="189" t="s">
        <v>214</v>
      </c>
      <c r="Q99" s="189" t="s">
        <v>215</v>
      </c>
      <c r="R99" s="189" t="s">
        <v>214</v>
      </c>
      <c r="S99" s="189" t="s">
        <v>215</v>
      </c>
      <c r="T99" s="189" t="s">
        <v>214</v>
      </c>
      <c r="U99" s="189" t="s">
        <v>215</v>
      </c>
      <c r="V99" s="189" t="s">
        <v>214</v>
      </c>
      <c r="W99" s="189" t="s">
        <v>215</v>
      </c>
      <c r="X99" s="189" t="s">
        <v>214</v>
      </c>
      <c r="Y99" s="189" t="s">
        <v>215</v>
      </c>
      <c r="Z99" s="189" t="s">
        <v>214</v>
      </c>
      <c r="AA99" s="189" t="s">
        <v>215</v>
      </c>
      <c r="AB99" s="189" t="s">
        <v>214</v>
      </c>
      <c r="AC99" s="189" t="s">
        <v>215</v>
      </c>
      <c r="AD99" s="189" t="s">
        <v>214</v>
      </c>
      <c r="AE99" s="189" t="s">
        <v>215</v>
      </c>
      <c r="AF99" s="189" t="s">
        <v>214</v>
      </c>
      <c r="AG99" s="189" t="s">
        <v>215</v>
      </c>
      <c r="AH99" s="189" t="s">
        <v>214</v>
      </c>
      <c r="AI99" s="189" t="s">
        <v>215</v>
      </c>
      <c r="AJ99" s="189" t="s">
        <v>214</v>
      </c>
      <c r="AK99" s="189" t="s">
        <v>215</v>
      </c>
      <c r="AL99" s="189" t="s">
        <v>214</v>
      </c>
      <c r="AM99" s="189" t="s">
        <v>215</v>
      </c>
      <c r="AN99" s="189" t="s">
        <v>214</v>
      </c>
      <c r="AO99" s="189" t="s">
        <v>215</v>
      </c>
      <c r="AP99" s="189" t="s">
        <v>214</v>
      </c>
      <c r="AQ99" s="189" t="s">
        <v>215</v>
      </c>
      <c r="AR99" s="189" t="s">
        <v>214</v>
      </c>
      <c r="AS99" s="189" t="s">
        <v>215</v>
      </c>
      <c r="AT99" s="189" t="s">
        <v>214</v>
      </c>
    </row>
    <row r="100" spans="1:47">
      <c r="A100" s="123">
        <f t="shared" ref="A100:AK100" si="0">92-COUNTBLANK(A$4:A$95)</f>
        <v>0</v>
      </c>
      <c r="B100" s="123">
        <f t="shared" si="0"/>
        <v>0</v>
      </c>
      <c r="C100" s="123">
        <f t="shared" si="0"/>
        <v>0</v>
      </c>
      <c r="D100" s="123">
        <f t="shared" si="0"/>
        <v>0</v>
      </c>
      <c r="E100" s="123">
        <f t="shared" si="0"/>
        <v>40</v>
      </c>
      <c r="F100" s="123">
        <f t="shared" si="0"/>
        <v>40</v>
      </c>
      <c r="G100" s="123">
        <f t="shared" si="0"/>
        <v>40</v>
      </c>
      <c r="H100" s="123">
        <f t="shared" si="0"/>
        <v>40</v>
      </c>
      <c r="I100" s="123">
        <f t="shared" si="0"/>
        <v>39</v>
      </c>
      <c r="J100" s="123">
        <f t="shared" si="0"/>
        <v>39</v>
      </c>
      <c r="K100" s="123">
        <f t="shared" si="0"/>
        <v>39</v>
      </c>
      <c r="L100" s="123">
        <f t="shared" si="0"/>
        <v>39</v>
      </c>
      <c r="M100" s="123">
        <f t="shared" si="0"/>
        <v>32</v>
      </c>
      <c r="N100" s="123">
        <f t="shared" si="0"/>
        <v>32</v>
      </c>
      <c r="O100" s="123">
        <f t="shared" si="0"/>
        <v>32</v>
      </c>
      <c r="P100" s="123">
        <f t="shared" si="0"/>
        <v>32</v>
      </c>
      <c r="Q100" s="123">
        <f t="shared" si="0"/>
        <v>27</v>
      </c>
      <c r="R100" s="123">
        <f t="shared" si="0"/>
        <v>27</v>
      </c>
      <c r="S100" s="123">
        <f t="shared" si="0"/>
        <v>27</v>
      </c>
      <c r="T100" s="123">
        <f t="shared" si="0"/>
        <v>27</v>
      </c>
      <c r="U100" s="123">
        <f t="shared" si="0"/>
        <v>31</v>
      </c>
      <c r="V100" s="123">
        <f t="shared" si="0"/>
        <v>31</v>
      </c>
      <c r="W100" s="123">
        <f t="shared" si="0"/>
        <v>31</v>
      </c>
      <c r="X100" s="123">
        <f t="shared" si="0"/>
        <v>31</v>
      </c>
      <c r="Y100" s="123">
        <f t="shared" si="0"/>
        <v>32</v>
      </c>
      <c r="Z100" s="123">
        <f t="shared" si="0"/>
        <v>32</v>
      </c>
      <c r="AA100" s="123">
        <f t="shared" si="0"/>
        <v>32</v>
      </c>
      <c r="AB100" s="123">
        <f t="shared" si="0"/>
        <v>32</v>
      </c>
      <c r="AC100" s="123">
        <f t="shared" si="0"/>
        <v>32</v>
      </c>
      <c r="AD100" s="123">
        <f t="shared" si="0"/>
        <v>32</v>
      </c>
      <c r="AE100" s="123">
        <f t="shared" si="0"/>
        <v>32</v>
      </c>
      <c r="AF100" s="123">
        <f t="shared" si="0"/>
        <v>32</v>
      </c>
      <c r="AG100" s="123">
        <f t="shared" si="0"/>
        <v>34</v>
      </c>
      <c r="AH100" s="123">
        <f t="shared" si="0"/>
        <v>34</v>
      </c>
      <c r="AI100" s="123">
        <f t="shared" si="0"/>
        <v>34</v>
      </c>
      <c r="AJ100" s="123">
        <f t="shared" si="0"/>
        <v>34</v>
      </c>
      <c r="AK100" s="123">
        <f t="shared" si="0"/>
        <v>35</v>
      </c>
      <c r="AL100" s="123">
        <f t="shared" ref="AL100:AP100" si="1">92-COUNTBLANK(AL$4:AL$95)</f>
        <v>35</v>
      </c>
      <c r="AM100" s="123">
        <f t="shared" si="1"/>
        <v>35</v>
      </c>
      <c r="AN100" s="123">
        <f t="shared" si="1"/>
        <v>35</v>
      </c>
      <c r="AO100" s="123">
        <f t="shared" si="1"/>
        <v>29</v>
      </c>
      <c r="AP100" s="123">
        <f t="shared" si="1"/>
        <v>29</v>
      </c>
      <c r="AQ100" s="123">
        <f t="shared" ref="AQ100:AS100" si="2">92-COUNTBLANK(AQ$4:AQ$95)</f>
        <v>29</v>
      </c>
      <c r="AR100" s="123">
        <f t="shared" si="2"/>
        <v>32</v>
      </c>
      <c r="AS100" s="123">
        <f t="shared" si="2"/>
        <v>31</v>
      </c>
      <c r="AT100" s="123">
        <f>92-COUNTBLANK(AT$4:AT$95)</f>
        <v>32</v>
      </c>
      <c r="AU100" s="121" t="s">
        <v>128</v>
      </c>
    </row>
    <row r="101" spans="1:47">
      <c r="A101" s="96" t="e">
        <f t="shared" ref="A101:AS101" si="3">SMALL(A$4:A$95,1)</f>
        <v>#NUM!</v>
      </c>
      <c r="B101" s="96" t="e">
        <f t="shared" si="3"/>
        <v>#NUM!</v>
      </c>
      <c r="C101" s="96" t="e">
        <f t="shared" si="3"/>
        <v>#NUM!</v>
      </c>
      <c r="D101" s="96" t="e">
        <f t="shared" si="3"/>
        <v>#NUM!</v>
      </c>
      <c r="E101" s="96">
        <f t="shared" si="3"/>
        <v>-1.1145104895104785E-2</v>
      </c>
      <c r="F101" s="96">
        <f t="shared" si="3"/>
        <v>8.2074083089597183E-2</v>
      </c>
      <c r="G101" s="96">
        <f t="shared" si="3"/>
        <v>0.16071428571428559</v>
      </c>
      <c r="H101" s="96">
        <f t="shared" si="3"/>
        <v>-0.14018691588785048</v>
      </c>
      <c r="I101" s="96">
        <f t="shared" si="3"/>
        <v>-3.5447311309380281E-2</v>
      </c>
      <c r="J101" s="96">
        <f t="shared" si="3"/>
        <v>-3.7569573283858793E-2</v>
      </c>
      <c r="K101" s="96">
        <f t="shared" si="3"/>
        <v>3.3344448149374983E-4</v>
      </c>
      <c r="L101" s="96">
        <f t="shared" si="3"/>
        <v>-7.4609600925390374E-2</v>
      </c>
      <c r="M101" s="96">
        <f t="shared" si="3"/>
        <v>-8.6420456787579258E-3</v>
      </c>
      <c r="N101" s="96">
        <f t="shared" si="3"/>
        <v>4.624582380868647E-2</v>
      </c>
      <c r="O101" s="96">
        <f t="shared" si="3"/>
        <v>-0.10202817773649164</v>
      </c>
      <c r="P101" s="96">
        <f t="shared" si="3"/>
        <v>-0.16999692591454041</v>
      </c>
      <c r="Q101" s="96">
        <f t="shared" si="3"/>
        <v>-9.0480387616586055E-3</v>
      </c>
      <c r="R101" s="96">
        <f t="shared" si="3"/>
        <v>5.5506643188730553E-2</v>
      </c>
      <c r="S101" s="96">
        <f t="shared" si="3"/>
        <v>-0.14421553090332795</v>
      </c>
      <c r="T101" s="96">
        <f t="shared" si="3"/>
        <v>-8.3737329219921719E-3</v>
      </c>
      <c r="U101" s="96">
        <f t="shared" si="3"/>
        <v>-0.34603533924416774</v>
      </c>
      <c r="V101" s="96">
        <f t="shared" si="3"/>
        <v>-5.8226931087566713E-2</v>
      </c>
      <c r="W101" s="96">
        <f t="shared" si="3"/>
        <v>-0.2896174863387978</v>
      </c>
      <c r="X101" s="96">
        <f t="shared" si="3"/>
        <v>-0.23439340400471143</v>
      </c>
      <c r="Y101" s="96">
        <f t="shared" si="3"/>
        <v>-0.27996860013444202</v>
      </c>
      <c r="Z101" s="96">
        <f t="shared" si="3"/>
        <v>2.000784621420193E-2</v>
      </c>
      <c r="AA101" s="96">
        <f t="shared" si="3"/>
        <v>-8.7497531108038706E-2</v>
      </c>
      <c r="AB101" s="96">
        <f t="shared" si="3"/>
        <v>-5.374716124148371E-2</v>
      </c>
      <c r="AC101" s="96">
        <f t="shared" si="3"/>
        <v>-1.4541929229276995E-3</v>
      </c>
      <c r="AD101" s="96">
        <f t="shared" si="3"/>
        <v>-4.0331993256386922E-2</v>
      </c>
      <c r="AE101" s="96">
        <f t="shared" si="3"/>
        <v>-0.12335629304946782</v>
      </c>
      <c r="AF101" s="96">
        <f t="shared" si="3"/>
        <v>-5.7920446615491894E-2</v>
      </c>
      <c r="AG101" s="96">
        <f t="shared" si="3"/>
        <v>-2.2222222222222365E-2</v>
      </c>
      <c r="AH101" s="96">
        <f t="shared" si="3"/>
        <v>-0.24914675767918093</v>
      </c>
      <c r="AI101" s="96">
        <f t="shared" si="3"/>
        <v>-0.18221313570150766</v>
      </c>
      <c r="AJ101" s="96">
        <f t="shared" si="3"/>
        <v>-0.24500370096225021</v>
      </c>
      <c r="AK101" s="96">
        <f t="shared" si="3"/>
        <v>-8.0919080919081177E-2</v>
      </c>
      <c r="AL101" s="96">
        <f t="shared" si="3"/>
        <v>-0.21192393352749705</v>
      </c>
      <c r="AM101" s="96">
        <f t="shared" si="3"/>
        <v>-0.27948426241941604</v>
      </c>
      <c r="AN101" s="96">
        <f t="shared" si="3"/>
        <v>-0.33797909407665516</v>
      </c>
      <c r="AO101" s="96">
        <f t="shared" si="3"/>
        <v>1.7153477157997754E-2</v>
      </c>
      <c r="AP101" s="96">
        <f t="shared" si="3"/>
        <v>-8.9989888776541904E-2</v>
      </c>
      <c r="AQ101" s="96">
        <f t="shared" si="3"/>
        <v>-8.7127339958400718E-2</v>
      </c>
      <c r="AR101" s="271">
        <f t="shared" si="3"/>
        <v>2.7</v>
      </c>
      <c r="AS101" s="271">
        <f t="shared" si="3"/>
        <v>2.1920000000000002</v>
      </c>
      <c r="AT101" s="96">
        <f>SMALL(AT$4:AT$95,1)</f>
        <v>5.0304035378662126E-2</v>
      </c>
    </row>
    <row r="102" spans="1:47">
      <c r="A102" s="96" t="e">
        <f t="shared" ref="A102:AS102" si="4">SMALL(A$4:A$95,2)</f>
        <v>#NUM!</v>
      </c>
      <c r="B102" s="96" t="e">
        <f t="shared" si="4"/>
        <v>#NUM!</v>
      </c>
      <c r="C102" s="96" t="e">
        <f t="shared" si="4"/>
        <v>#NUM!</v>
      </c>
      <c r="D102" s="96" t="e">
        <f t="shared" si="4"/>
        <v>#NUM!</v>
      </c>
      <c r="E102" s="96">
        <f t="shared" si="4"/>
        <v>4.6463725043035531E-2</v>
      </c>
      <c r="F102" s="96">
        <f t="shared" si="4"/>
        <v>0.10049611554614346</v>
      </c>
      <c r="G102" s="96">
        <f t="shared" si="4"/>
        <v>0.18658915346022131</v>
      </c>
      <c r="H102" s="96">
        <f t="shared" si="4"/>
        <v>-6.9090909090909092E-2</v>
      </c>
      <c r="I102" s="96">
        <f t="shared" si="4"/>
        <v>-3.344853845703244E-2</v>
      </c>
      <c r="J102" s="96">
        <f t="shared" si="4"/>
        <v>8.7449025826914273E-2</v>
      </c>
      <c r="K102" s="96">
        <f t="shared" si="4"/>
        <v>0.10356536502546709</v>
      </c>
      <c r="L102" s="96">
        <f t="shared" si="4"/>
        <v>0.13039967702866373</v>
      </c>
      <c r="M102" s="96">
        <f t="shared" si="4"/>
        <v>1.4051336856062413E-3</v>
      </c>
      <c r="N102" s="96">
        <f t="shared" si="4"/>
        <v>5.5603289554437385E-2</v>
      </c>
      <c r="O102" s="96">
        <f t="shared" si="4"/>
        <v>-7.0247933884297398E-2</v>
      </c>
      <c r="P102" s="96">
        <f t="shared" si="4"/>
        <v>-0.15627292736610421</v>
      </c>
      <c r="Q102" s="96">
        <f t="shared" si="4"/>
        <v>-8.5285341728731368E-3</v>
      </c>
      <c r="R102" s="96">
        <f t="shared" si="4"/>
        <v>8.8929219600726084E-2</v>
      </c>
      <c r="S102" s="96">
        <f t="shared" si="4"/>
        <v>-8.9125560538116599E-2</v>
      </c>
      <c r="T102" s="96">
        <f t="shared" si="4"/>
        <v>5.1308363263213863E-4</v>
      </c>
      <c r="U102" s="96">
        <f t="shared" si="4"/>
        <v>-0.19178629325940366</v>
      </c>
      <c r="V102" s="96">
        <f t="shared" si="4"/>
        <v>4.8752834467120199E-2</v>
      </c>
      <c r="W102" s="96">
        <f t="shared" si="4"/>
        <v>-0.18181579016600458</v>
      </c>
      <c r="X102" s="96">
        <f t="shared" si="4"/>
        <v>-1.1505943678087771E-2</v>
      </c>
      <c r="Y102" s="96">
        <f t="shared" si="4"/>
        <v>-0.18273260687342829</v>
      </c>
      <c r="Z102" s="96">
        <f t="shared" si="4"/>
        <v>3.3402922755741082E-2</v>
      </c>
      <c r="AA102" s="96">
        <f t="shared" si="4"/>
        <v>-2.6479750778816258E-2</v>
      </c>
      <c r="AB102" s="96">
        <f t="shared" si="4"/>
        <v>4.5150501672240884E-2</v>
      </c>
      <c r="AC102" s="96">
        <f t="shared" si="4"/>
        <v>4.821671758253876E-3</v>
      </c>
      <c r="AD102" s="96">
        <f t="shared" si="4"/>
        <v>7.026686719597075E-2</v>
      </c>
      <c r="AE102" s="96">
        <f t="shared" si="4"/>
        <v>-1.1124845488257207E-2</v>
      </c>
      <c r="AF102" s="96">
        <f t="shared" si="4"/>
        <v>-4.3491256912270293E-2</v>
      </c>
      <c r="AG102" s="96">
        <f t="shared" si="4"/>
        <v>-9.9725393843042021E-3</v>
      </c>
      <c r="AH102" s="96">
        <f t="shared" si="4"/>
        <v>-0.11585927426782083</v>
      </c>
      <c r="AI102" s="96">
        <f t="shared" si="4"/>
        <v>-0.12980420594633779</v>
      </c>
      <c r="AJ102" s="96">
        <f t="shared" si="4"/>
        <v>8.5018749615786593E-2</v>
      </c>
      <c r="AK102" s="96">
        <f t="shared" si="4"/>
        <v>2.2524547841095366E-2</v>
      </c>
      <c r="AL102" s="96">
        <f t="shared" si="4"/>
        <v>-6.3046791217474807E-2</v>
      </c>
      <c r="AM102" s="96">
        <f t="shared" si="4"/>
        <v>-9.5136357923840564E-2</v>
      </c>
      <c r="AN102" s="96">
        <f t="shared" si="4"/>
        <v>-0.1910112359550562</v>
      </c>
      <c r="AO102" s="96">
        <f t="shared" si="4"/>
        <v>3.3197831978319714E-2</v>
      </c>
      <c r="AP102" s="96">
        <f t="shared" si="4"/>
        <v>4.0367474827366134E-2</v>
      </c>
      <c r="AQ102" s="96">
        <f t="shared" si="4"/>
        <v>1.114612237219581E-2</v>
      </c>
      <c r="AR102" s="271">
        <f t="shared" si="4"/>
        <v>3.2</v>
      </c>
      <c r="AS102" s="271">
        <f t="shared" si="4"/>
        <v>2.63</v>
      </c>
      <c r="AT102" s="96">
        <f>SMALL(AT$4:AT$95,2)</f>
        <v>6.8883610451306421E-2</v>
      </c>
    </row>
    <row r="103" spans="1:47">
      <c r="A103" s="96" t="e">
        <f t="shared" ref="A103:AS103" si="5">SMALL(A$4:A$95,3)</f>
        <v>#NUM!</v>
      </c>
      <c r="B103" s="96" t="e">
        <f t="shared" si="5"/>
        <v>#NUM!</v>
      </c>
      <c r="C103" s="96" t="e">
        <f t="shared" si="5"/>
        <v>#NUM!</v>
      </c>
      <c r="D103" s="96" t="e">
        <f t="shared" si="5"/>
        <v>#NUM!</v>
      </c>
      <c r="E103" s="96">
        <f t="shared" si="5"/>
        <v>6.9049061175045168E-2</v>
      </c>
      <c r="F103" s="96">
        <f t="shared" si="5"/>
        <v>0.10204578665367769</v>
      </c>
      <c r="G103" s="96">
        <f t="shared" si="5"/>
        <v>0.24899274778404501</v>
      </c>
      <c r="H103" s="96">
        <f t="shared" si="5"/>
        <v>-4.7114875595553163E-2</v>
      </c>
      <c r="I103" s="96">
        <f t="shared" si="5"/>
        <v>2.9173609970192693E-2</v>
      </c>
      <c r="J103" s="96">
        <f t="shared" si="5"/>
        <v>8.9418438541645218E-2</v>
      </c>
      <c r="K103" s="96">
        <f t="shared" si="5"/>
        <v>0.10943015632879471</v>
      </c>
      <c r="L103" s="96">
        <f t="shared" si="5"/>
        <v>0.28830083565459619</v>
      </c>
      <c r="M103" s="96">
        <f t="shared" si="5"/>
        <v>1.0535464074777012E-2</v>
      </c>
      <c r="N103" s="96">
        <f t="shared" si="5"/>
        <v>7.7811666592995321E-2</v>
      </c>
      <c r="O103" s="96">
        <f t="shared" si="5"/>
        <v>-2.0088192062714283E-2</v>
      </c>
      <c r="P103" s="96">
        <f t="shared" si="5"/>
        <v>-9.9504727600180143E-2</v>
      </c>
      <c r="Q103" s="96">
        <f t="shared" si="5"/>
        <v>1.6564556387565377E-2</v>
      </c>
      <c r="R103" s="96">
        <f t="shared" si="5"/>
        <v>9.0239758353785282E-2</v>
      </c>
      <c r="S103" s="96">
        <f t="shared" si="5"/>
        <v>-1.1124845488257096E-2</v>
      </c>
      <c r="T103" s="96">
        <f t="shared" si="5"/>
        <v>9.9633455514828384E-2</v>
      </c>
      <c r="U103" s="96">
        <f t="shared" si="5"/>
        <v>-0.14365067119271724</v>
      </c>
      <c r="V103" s="96">
        <f t="shared" si="5"/>
        <v>5.9730250481695668E-2</v>
      </c>
      <c r="W103" s="96">
        <f t="shared" si="5"/>
        <v>-0.15929203539823</v>
      </c>
      <c r="X103" s="96">
        <f t="shared" si="5"/>
        <v>-5.8479532163743242E-3</v>
      </c>
      <c r="Y103" s="96">
        <f t="shared" si="5"/>
        <v>-0.11115101454480159</v>
      </c>
      <c r="Z103" s="96">
        <f t="shared" si="5"/>
        <v>8.4531482399603508E-2</v>
      </c>
      <c r="AA103" s="96">
        <f t="shared" si="5"/>
        <v>3.7037037037037202E-2</v>
      </c>
      <c r="AB103" s="96">
        <f t="shared" si="5"/>
        <v>4.9317943336831149E-2</v>
      </c>
      <c r="AC103" s="96">
        <f t="shared" si="5"/>
        <v>2.9852253222495184E-2</v>
      </c>
      <c r="AD103" s="96">
        <f t="shared" si="5"/>
        <v>9.5249928670697814E-2</v>
      </c>
      <c r="AE103" s="96">
        <f t="shared" si="5"/>
        <v>-9.4240207147804345E-3</v>
      </c>
      <c r="AF103" s="96">
        <f t="shared" si="5"/>
        <v>-3.0067895247332665E-2</v>
      </c>
      <c r="AG103" s="96">
        <f t="shared" si="5"/>
        <v>1.5212981744423537E-3</v>
      </c>
      <c r="AH103" s="96">
        <f t="shared" si="5"/>
        <v>-9.3904448105436633E-2</v>
      </c>
      <c r="AI103" s="96">
        <f t="shared" si="5"/>
        <v>-4.3062200956937691E-2</v>
      </c>
      <c r="AJ103" s="96">
        <f t="shared" si="5"/>
        <v>0.19292472233648694</v>
      </c>
      <c r="AK103" s="96">
        <f t="shared" si="5"/>
        <v>2.4895717332628742E-2</v>
      </c>
      <c r="AL103" s="96">
        <f t="shared" si="5"/>
        <v>-1.0740531373657491E-2</v>
      </c>
      <c r="AM103" s="96">
        <f t="shared" si="5"/>
        <v>-7.2830743653686247E-2</v>
      </c>
      <c r="AN103" s="96">
        <f t="shared" si="5"/>
        <v>-0.14670167377748611</v>
      </c>
      <c r="AO103" s="96">
        <f t="shared" si="5"/>
        <v>6.3929071395240289E-2</v>
      </c>
      <c r="AP103" s="96">
        <f t="shared" si="5"/>
        <v>6.6122263808551462E-2</v>
      </c>
      <c r="AQ103" s="96">
        <f t="shared" si="5"/>
        <v>2.3108131945669408E-2</v>
      </c>
      <c r="AR103" s="271">
        <f t="shared" si="5"/>
        <v>3.7</v>
      </c>
      <c r="AS103" s="271">
        <f t="shared" si="5"/>
        <v>2.7050000000000001</v>
      </c>
      <c r="AT103" s="96">
        <f>SMALL(AT$4:AT$95,3)</f>
        <v>7.2066706372841072E-2</v>
      </c>
    </row>
    <row r="104" spans="1:47">
      <c r="A104" s="96" t="e">
        <f t="shared" ref="A104:AS104" si="6">SMALL(A$4:A$95,4)</f>
        <v>#NUM!</v>
      </c>
      <c r="B104" s="96" t="e">
        <f t="shared" si="6"/>
        <v>#NUM!</v>
      </c>
      <c r="C104" s="96" t="e">
        <f t="shared" si="6"/>
        <v>#NUM!</v>
      </c>
      <c r="D104" s="96" t="e">
        <f t="shared" si="6"/>
        <v>#NUM!</v>
      </c>
      <c r="E104" s="96">
        <f t="shared" si="6"/>
        <v>0.10169521917351321</v>
      </c>
      <c r="F104" s="96">
        <f t="shared" si="6"/>
        <v>0.10482617181039333</v>
      </c>
      <c r="G104" s="96">
        <f t="shared" si="6"/>
        <v>0.2849162011173183</v>
      </c>
      <c r="H104" s="96">
        <f t="shared" si="6"/>
        <v>-1.1936339522546358E-2</v>
      </c>
      <c r="I104" s="96">
        <f t="shared" si="6"/>
        <v>3.6832230670484911E-2</v>
      </c>
      <c r="J104" s="96">
        <f t="shared" si="6"/>
        <v>9.7587480982395336E-2</v>
      </c>
      <c r="K104" s="96">
        <f t="shared" si="6"/>
        <v>0.19047619047619047</v>
      </c>
      <c r="L104" s="96">
        <f t="shared" si="6"/>
        <v>0.29352485523050298</v>
      </c>
      <c r="M104" s="96">
        <f t="shared" si="6"/>
        <v>1.5314804310833763E-2</v>
      </c>
      <c r="N104" s="96">
        <f t="shared" si="6"/>
        <v>9.9521946979574061E-2</v>
      </c>
      <c r="O104" s="96">
        <f t="shared" si="6"/>
        <v>-1.0225485055060379E-2</v>
      </c>
      <c r="P104" s="96">
        <f t="shared" si="6"/>
        <v>-9.4778490498171664E-2</v>
      </c>
      <c r="Q104" s="96">
        <f t="shared" si="6"/>
        <v>5.4168758271345929E-2</v>
      </c>
      <c r="R104" s="96">
        <f t="shared" si="6"/>
        <v>0.10199316293876048</v>
      </c>
      <c r="S104" s="96">
        <f t="shared" si="6"/>
        <v>6.4701653486698429E-3</v>
      </c>
      <c r="T104" s="96">
        <f t="shared" si="6"/>
        <v>0.13226968605249612</v>
      </c>
      <c r="U104" s="96">
        <f t="shared" si="6"/>
        <v>-0.10067374774048021</v>
      </c>
      <c r="V104" s="96">
        <f t="shared" si="6"/>
        <v>6.8827521065844666E-2</v>
      </c>
      <c r="W104" s="96">
        <f t="shared" si="6"/>
        <v>-5.6900345803206576E-2</v>
      </c>
      <c r="X104" s="96">
        <f t="shared" si="6"/>
        <v>1.7639077340569909E-2</v>
      </c>
      <c r="Y104" s="96">
        <f t="shared" si="6"/>
        <v>-4.6263700596709256E-2</v>
      </c>
      <c r="Z104" s="96">
        <f t="shared" si="6"/>
        <v>8.6076025321772498E-2</v>
      </c>
      <c r="AA104" s="96">
        <f t="shared" si="6"/>
        <v>5.9201815774541533E-2</v>
      </c>
      <c r="AB104" s="96">
        <f t="shared" si="6"/>
        <v>5.2328095718610301E-2</v>
      </c>
      <c r="AC104" s="96">
        <f t="shared" si="6"/>
        <v>4.5703389309220688E-2</v>
      </c>
      <c r="AD104" s="96">
        <f t="shared" si="6"/>
        <v>0.11160515784793246</v>
      </c>
      <c r="AE104" s="96">
        <f t="shared" si="6"/>
        <v>3.6090485235710457E-2</v>
      </c>
      <c r="AF104" s="96">
        <f t="shared" si="6"/>
        <v>-2.3549684089603784E-2</v>
      </c>
      <c r="AG104" s="96">
        <f t="shared" si="6"/>
        <v>9.431756177410433E-3</v>
      </c>
      <c r="AH104" s="96">
        <f t="shared" si="6"/>
        <v>5.9007921379252037E-2</v>
      </c>
      <c r="AI104" s="96">
        <f t="shared" si="6"/>
        <v>-1.7366780466082865E-2</v>
      </c>
      <c r="AJ104" s="96">
        <f t="shared" si="6"/>
        <v>0.19438366156090447</v>
      </c>
      <c r="AK104" s="96">
        <f t="shared" si="6"/>
        <v>3.4330985915492995E-2</v>
      </c>
      <c r="AL104" s="96">
        <f t="shared" si="6"/>
        <v>3.3421284080914715E-2</v>
      </c>
      <c r="AM104" s="96">
        <f t="shared" si="6"/>
        <v>-5.6603773584905537E-2</v>
      </c>
      <c r="AN104" s="96">
        <f t="shared" si="6"/>
        <v>-0.12049252418645562</v>
      </c>
      <c r="AO104" s="96">
        <f t="shared" si="6"/>
        <v>8.2251082251082241E-2</v>
      </c>
      <c r="AP104" s="96">
        <f t="shared" si="6"/>
        <v>9.208240258128586E-2</v>
      </c>
      <c r="AQ104" s="96">
        <f t="shared" si="6"/>
        <v>8.3276912660798841E-2</v>
      </c>
      <c r="AR104" s="271">
        <f t="shared" si="6"/>
        <v>4.2</v>
      </c>
      <c r="AS104" s="271">
        <f t="shared" si="6"/>
        <v>3.4829999999999997</v>
      </c>
      <c r="AT104" s="96">
        <f>SMALL(AT$4:AT$95,4)</f>
        <v>8.2878581173260635E-2</v>
      </c>
    </row>
    <row r="105" spans="1:47">
      <c r="A105" s="96" t="e">
        <f t="shared" ref="A105:AS105" si="7">SMALL(A$4:A$95,5)</f>
        <v>#NUM!</v>
      </c>
      <c r="B105" s="96" t="e">
        <f t="shared" si="7"/>
        <v>#NUM!</v>
      </c>
      <c r="C105" s="96" t="e">
        <f t="shared" si="7"/>
        <v>#NUM!</v>
      </c>
      <c r="D105" s="96" t="e">
        <f t="shared" si="7"/>
        <v>#NUM!</v>
      </c>
      <c r="E105" s="96">
        <f t="shared" si="7"/>
        <v>0.11211001231978157</v>
      </c>
      <c r="F105" s="96">
        <f t="shared" si="7"/>
        <v>0.11668501978057844</v>
      </c>
      <c r="G105" s="96">
        <f t="shared" si="7"/>
        <v>0.29032258064516125</v>
      </c>
      <c r="H105" s="96">
        <f t="shared" si="7"/>
        <v>-7.4710496824814676E-4</v>
      </c>
      <c r="I105" s="96">
        <f t="shared" si="7"/>
        <v>5.2155002283087226E-2</v>
      </c>
      <c r="J105" s="96">
        <f t="shared" si="7"/>
        <v>0.10095416027223614</v>
      </c>
      <c r="K105" s="96">
        <f t="shared" si="7"/>
        <v>0.19552641727728504</v>
      </c>
      <c r="L105" s="96">
        <f t="shared" si="7"/>
        <v>0.33887349953831958</v>
      </c>
      <c r="M105" s="96">
        <f t="shared" si="7"/>
        <v>3.960994479590596E-2</v>
      </c>
      <c r="N105" s="96">
        <f t="shared" si="7"/>
        <v>0.11427510214188463</v>
      </c>
      <c r="O105" s="96">
        <f t="shared" si="7"/>
        <v>7.7955454026270798E-2</v>
      </c>
      <c r="P105" s="96">
        <f t="shared" si="7"/>
        <v>-6.8016294284656387E-2</v>
      </c>
      <c r="Q105" s="96">
        <f t="shared" si="7"/>
        <v>9.0909090909090606E-2</v>
      </c>
      <c r="R105" s="96">
        <f t="shared" si="7"/>
        <v>0.10661001877284848</v>
      </c>
      <c r="S105" s="96">
        <f t="shared" si="7"/>
        <v>1.1522561351042349E-2</v>
      </c>
      <c r="T105" s="96">
        <f t="shared" si="7"/>
        <v>0.13827993254637461</v>
      </c>
      <c r="U105" s="96">
        <f t="shared" si="7"/>
        <v>-9.5913261050875831E-2</v>
      </c>
      <c r="V105" s="96">
        <f t="shared" si="7"/>
        <v>7.4761455384292796E-2</v>
      </c>
      <c r="W105" s="96">
        <f t="shared" si="7"/>
        <v>-1.403109594235874E-2</v>
      </c>
      <c r="X105" s="96">
        <f t="shared" si="7"/>
        <v>2.1102791014295352E-2</v>
      </c>
      <c r="Y105" s="96">
        <f t="shared" si="7"/>
        <v>-7.9358781049032601E-5</v>
      </c>
      <c r="Z105" s="96">
        <f t="shared" si="7"/>
        <v>8.8350249494060007E-2</v>
      </c>
      <c r="AA105" s="96">
        <f t="shared" si="7"/>
        <v>9.6804959465903506E-2</v>
      </c>
      <c r="AB105" s="96">
        <f t="shared" si="7"/>
        <v>6.9137562366357708E-2</v>
      </c>
      <c r="AC105" s="96">
        <f t="shared" si="7"/>
        <v>5.8547498226659833E-2</v>
      </c>
      <c r="AD105" s="96">
        <f t="shared" si="7"/>
        <v>0.1124410335844539</v>
      </c>
      <c r="AE105" s="96">
        <f t="shared" si="7"/>
        <v>4.1666666666666741E-2</v>
      </c>
      <c r="AF105" s="96">
        <f t="shared" si="7"/>
        <v>7.7437148615677742E-3</v>
      </c>
      <c r="AG105" s="96">
        <f t="shared" si="7"/>
        <v>4.4118675274430696E-2</v>
      </c>
      <c r="AH105" s="96">
        <f t="shared" si="7"/>
        <v>6.2291039290541139E-2</v>
      </c>
      <c r="AI105" s="96">
        <f t="shared" si="7"/>
        <v>6.9958847736625529E-2</v>
      </c>
      <c r="AJ105" s="96">
        <f t="shared" si="7"/>
        <v>0.19970468807678099</v>
      </c>
      <c r="AK105" s="96">
        <f t="shared" si="7"/>
        <v>5.2631578947368363E-2</v>
      </c>
      <c r="AL105" s="96">
        <f t="shared" si="7"/>
        <v>3.89036251105217E-2</v>
      </c>
      <c r="AM105" s="96">
        <f t="shared" si="7"/>
        <v>-3.5323478594739721E-2</v>
      </c>
      <c r="AN105" s="96">
        <f t="shared" si="7"/>
        <v>-0.10865874363327666</v>
      </c>
      <c r="AO105" s="96">
        <f t="shared" si="7"/>
        <v>0.13392583512105438</v>
      </c>
      <c r="AP105" s="96">
        <f t="shared" si="7"/>
        <v>9.2168353755993415E-2</v>
      </c>
      <c r="AQ105" s="96">
        <f t="shared" si="7"/>
        <v>0.11168562564632878</v>
      </c>
      <c r="AR105" s="271">
        <f t="shared" si="7"/>
        <v>4.4000000000000004</v>
      </c>
      <c r="AS105" s="271">
        <f t="shared" si="7"/>
        <v>3.633</v>
      </c>
      <c r="AT105" s="96">
        <f>SMALL(AT$4:AT$95,5)</f>
        <v>0.11209964412811368</v>
      </c>
    </row>
    <row r="106" spans="1:47">
      <c r="A106" s="96" t="e">
        <f t="shared" ref="A106:AT106" si="8">SMALL(A$4:A$95,A$100-4)</f>
        <v>#NUM!</v>
      </c>
      <c r="B106" s="96" t="e">
        <f t="shared" si="8"/>
        <v>#NUM!</v>
      </c>
      <c r="C106" s="96" t="e">
        <f t="shared" si="8"/>
        <v>#NUM!</v>
      </c>
      <c r="D106" s="96" t="e">
        <f t="shared" si="8"/>
        <v>#NUM!</v>
      </c>
      <c r="E106" s="96">
        <f t="shared" si="8"/>
        <v>0.79696896800577344</v>
      </c>
      <c r="F106" s="96">
        <f t="shared" si="8"/>
        <v>0.62545151430953072</v>
      </c>
      <c r="G106" s="96">
        <f t="shared" si="8"/>
        <v>1.9947916666666665</v>
      </c>
      <c r="H106" s="96">
        <f t="shared" si="8"/>
        <v>0.77173465183353929</v>
      </c>
      <c r="I106" s="96">
        <f t="shared" si="8"/>
        <v>0.69762332734172161</v>
      </c>
      <c r="J106" s="96">
        <f t="shared" si="8"/>
        <v>0.60966287730301838</v>
      </c>
      <c r="K106" s="96">
        <f t="shared" si="8"/>
        <v>1.1788990825688073</v>
      </c>
      <c r="L106" s="96">
        <f t="shared" si="8"/>
        <v>1.3351648351648353</v>
      </c>
      <c r="M106" s="96">
        <f t="shared" si="8"/>
        <v>0.63494387506100547</v>
      </c>
      <c r="N106" s="96">
        <f t="shared" si="8"/>
        <v>0.50568416416636852</v>
      </c>
      <c r="O106" s="96">
        <f t="shared" si="8"/>
        <v>0.70830664104206709</v>
      </c>
      <c r="P106" s="96">
        <f t="shared" si="8"/>
        <v>0.33720930232558133</v>
      </c>
      <c r="Q106" s="96">
        <f t="shared" si="8"/>
        <v>0.49284677586564385</v>
      </c>
      <c r="R106" s="96">
        <f t="shared" si="8"/>
        <v>0.47635306019221058</v>
      </c>
      <c r="S106" s="96">
        <f t="shared" si="8"/>
        <v>0.46259924780610118</v>
      </c>
      <c r="T106" s="96">
        <f t="shared" si="8"/>
        <v>0.48195876288659778</v>
      </c>
      <c r="U106" s="96">
        <f t="shared" si="8"/>
        <v>0.37775268210050794</v>
      </c>
      <c r="V106" s="96">
        <f t="shared" si="8"/>
        <v>0.54020562135960271</v>
      </c>
      <c r="W106" s="96">
        <f t="shared" si="8"/>
        <v>0.43721633888048395</v>
      </c>
      <c r="X106" s="96">
        <f t="shared" si="8"/>
        <v>0.44873699851411586</v>
      </c>
      <c r="Y106" s="96">
        <f t="shared" si="8"/>
        <v>0.60504101771489727</v>
      </c>
      <c r="Z106" s="96">
        <f t="shared" si="8"/>
        <v>0.61832061068702271</v>
      </c>
      <c r="AA106" s="96">
        <f t="shared" si="8"/>
        <v>0.73292558613659531</v>
      </c>
      <c r="AB106" s="96">
        <f t="shared" si="8"/>
        <v>0.73852573018080681</v>
      </c>
      <c r="AC106" s="96">
        <f t="shared" si="8"/>
        <v>0.67198662410700716</v>
      </c>
      <c r="AD106" s="96">
        <f t="shared" si="8"/>
        <v>0.6058394160583942</v>
      </c>
      <c r="AE106" s="96">
        <f t="shared" si="8"/>
        <v>0.68067226890756305</v>
      </c>
      <c r="AF106" s="96">
        <f t="shared" si="8"/>
        <v>0.50157141194273103</v>
      </c>
      <c r="AG106" s="96">
        <f t="shared" si="8"/>
        <v>0.60813527255527955</v>
      </c>
      <c r="AH106" s="96">
        <f t="shared" si="8"/>
        <v>0.62172984516817942</v>
      </c>
      <c r="AI106" s="96">
        <f t="shared" si="8"/>
        <v>0.56585156585156571</v>
      </c>
      <c r="AJ106" s="96">
        <f t="shared" si="8"/>
        <v>0.78316690442225401</v>
      </c>
      <c r="AK106" s="96">
        <f t="shared" si="8"/>
        <v>1.0342117429496072</v>
      </c>
      <c r="AL106" s="96">
        <f t="shared" si="8"/>
        <v>0.64041994750656173</v>
      </c>
      <c r="AM106" s="96">
        <f t="shared" si="8"/>
        <v>0.93032015065913343</v>
      </c>
      <c r="AN106" s="96">
        <f t="shared" si="8"/>
        <v>0.83823529411764697</v>
      </c>
      <c r="AO106" s="96">
        <f t="shared" si="8"/>
        <v>0.86116700201207252</v>
      </c>
      <c r="AP106" s="96">
        <f t="shared" si="8"/>
        <v>0.58102766798418992</v>
      </c>
      <c r="AQ106" s="96">
        <f t="shared" si="8"/>
        <v>0.82965299684542582</v>
      </c>
      <c r="AR106" s="271">
        <f t="shared" si="8"/>
        <v>40.5</v>
      </c>
      <c r="AS106" s="271">
        <f t="shared" si="8"/>
        <v>32.872999999999998</v>
      </c>
      <c r="AT106" s="96">
        <f t="shared" si="8"/>
        <v>0.74471992653810837</v>
      </c>
    </row>
    <row r="107" spans="1:47">
      <c r="A107" s="96" t="e">
        <f t="shared" ref="A107:AT107" si="9">SMALL(A$4:A$95,A$100-3)</f>
        <v>#NUM!</v>
      </c>
      <c r="B107" s="96" t="e">
        <f t="shared" si="9"/>
        <v>#NUM!</v>
      </c>
      <c r="C107" s="96" t="e">
        <f t="shared" si="9"/>
        <v>#NUM!</v>
      </c>
      <c r="D107" s="96" t="e">
        <f t="shared" si="9"/>
        <v>#NUM!</v>
      </c>
      <c r="E107" s="96">
        <f t="shared" si="9"/>
        <v>0.88172043010752676</v>
      </c>
      <c r="F107" s="96">
        <f t="shared" si="9"/>
        <v>0.64983598121824149</v>
      </c>
      <c r="G107" s="96">
        <f t="shared" si="9"/>
        <v>2.0669895076674734</v>
      </c>
      <c r="H107" s="96">
        <f t="shared" si="9"/>
        <v>0.80436847103513776</v>
      </c>
      <c r="I107" s="96">
        <f t="shared" si="9"/>
        <v>0.71582943925233655</v>
      </c>
      <c r="J107" s="96">
        <f t="shared" si="9"/>
        <v>0.63957301332589123</v>
      </c>
      <c r="K107" s="96">
        <f t="shared" si="9"/>
        <v>1.1868787276341948</v>
      </c>
      <c r="L107" s="96">
        <f t="shared" si="9"/>
        <v>1.3507287259050309</v>
      </c>
      <c r="M107" s="96">
        <f t="shared" si="9"/>
        <v>0.64044641656581947</v>
      </c>
      <c r="N107" s="96">
        <f t="shared" si="9"/>
        <v>0.50608044901777394</v>
      </c>
      <c r="O107" s="96">
        <f t="shared" si="9"/>
        <v>0.8023817186997102</v>
      </c>
      <c r="P107" s="96">
        <f t="shared" si="9"/>
        <v>0.41927853341218202</v>
      </c>
      <c r="Q107" s="96">
        <f t="shared" si="9"/>
        <v>0.54709128743327606</v>
      </c>
      <c r="R107" s="96">
        <f t="shared" si="9"/>
        <v>0.49671951886276644</v>
      </c>
      <c r="S107" s="96">
        <f t="shared" si="9"/>
        <v>0.59203980099502518</v>
      </c>
      <c r="T107" s="96">
        <f t="shared" si="9"/>
        <v>0.51079136690647498</v>
      </c>
      <c r="U107" s="96">
        <f t="shared" si="9"/>
        <v>0.38423957296661526</v>
      </c>
      <c r="V107" s="96">
        <f t="shared" si="9"/>
        <v>0.56893004115226309</v>
      </c>
      <c r="W107" s="96">
        <f t="shared" si="9"/>
        <v>0.47244425746739593</v>
      </c>
      <c r="X107" s="96">
        <f t="shared" si="9"/>
        <v>0.45505749823984987</v>
      </c>
      <c r="Y107" s="96">
        <f t="shared" si="9"/>
        <v>0.61975960128994445</v>
      </c>
      <c r="Z107" s="96">
        <f t="shared" si="9"/>
        <v>0.64915709748350836</v>
      </c>
      <c r="AA107" s="96">
        <f t="shared" si="9"/>
        <v>0.77345537757437066</v>
      </c>
      <c r="AB107" s="96">
        <f t="shared" si="9"/>
        <v>0.74825174825174834</v>
      </c>
      <c r="AC107" s="96">
        <f t="shared" si="9"/>
        <v>0.68758113370835128</v>
      </c>
      <c r="AD107" s="96">
        <f t="shared" si="9"/>
        <v>0.60707836764174794</v>
      </c>
      <c r="AE107" s="96">
        <f t="shared" si="9"/>
        <v>0.86023127199597793</v>
      </c>
      <c r="AF107" s="96">
        <f t="shared" si="9"/>
        <v>0.58610271903323263</v>
      </c>
      <c r="AG107" s="96">
        <f t="shared" si="9"/>
        <v>0.67493796526054584</v>
      </c>
      <c r="AH107" s="96">
        <f t="shared" si="9"/>
        <v>0.69445203607543027</v>
      </c>
      <c r="AI107" s="96">
        <f t="shared" si="9"/>
        <v>0.57227085938895828</v>
      </c>
      <c r="AJ107" s="96">
        <f t="shared" si="9"/>
        <v>0.9429265330904677</v>
      </c>
      <c r="AK107" s="96">
        <f t="shared" si="9"/>
        <v>1.079107505070994</v>
      </c>
      <c r="AL107" s="96">
        <f t="shared" si="9"/>
        <v>0.71121251629726223</v>
      </c>
      <c r="AM107" s="96">
        <f t="shared" si="9"/>
        <v>0.96749358426005116</v>
      </c>
      <c r="AN107" s="96">
        <f t="shared" si="9"/>
        <v>0.88492063492063489</v>
      </c>
      <c r="AO107" s="96">
        <f t="shared" si="9"/>
        <v>0.86190845616757183</v>
      </c>
      <c r="AP107" s="96">
        <f t="shared" si="9"/>
        <v>0.64371390493114178</v>
      </c>
      <c r="AQ107" s="96">
        <f t="shared" si="9"/>
        <v>1.0062942564909521</v>
      </c>
      <c r="AR107" s="271">
        <f t="shared" si="9"/>
        <v>64.3</v>
      </c>
      <c r="AS107" s="271">
        <f t="shared" si="9"/>
        <v>47.930999999999997</v>
      </c>
      <c r="AT107" s="96">
        <f t="shared" si="9"/>
        <v>0.74563591022443898</v>
      </c>
    </row>
    <row r="108" spans="1:47">
      <c r="A108" s="96" t="e">
        <f t="shared" ref="A108:AT108" si="10">SMALL(A$4:A$95,A$100-2)</f>
        <v>#NUM!</v>
      </c>
      <c r="B108" s="96" t="e">
        <f t="shared" si="10"/>
        <v>#NUM!</v>
      </c>
      <c r="C108" s="96" t="e">
        <f t="shared" si="10"/>
        <v>#NUM!</v>
      </c>
      <c r="D108" s="96" t="e">
        <f t="shared" si="10"/>
        <v>#NUM!</v>
      </c>
      <c r="E108" s="96">
        <f t="shared" si="10"/>
        <v>0.94072657743785837</v>
      </c>
      <c r="F108" s="96">
        <f t="shared" si="10"/>
        <v>0.65840049597024164</v>
      </c>
      <c r="G108" s="96">
        <f t="shared" si="10"/>
        <v>2.1159420289855073</v>
      </c>
      <c r="H108" s="96">
        <f t="shared" si="10"/>
        <v>0.92998204667863527</v>
      </c>
      <c r="I108" s="96">
        <f t="shared" si="10"/>
        <v>0.76211453744493385</v>
      </c>
      <c r="J108" s="96">
        <f t="shared" si="10"/>
        <v>0.67505445804852404</v>
      </c>
      <c r="K108" s="96">
        <f t="shared" si="10"/>
        <v>1.2058823529411766</v>
      </c>
      <c r="L108" s="96">
        <f t="shared" si="10"/>
        <v>1.4199288256227756</v>
      </c>
      <c r="M108" s="96">
        <f t="shared" si="10"/>
        <v>0.66781802032961601</v>
      </c>
      <c r="N108" s="96">
        <f t="shared" si="10"/>
        <v>0.55476485148514842</v>
      </c>
      <c r="O108" s="96">
        <f t="shared" si="10"/>
        <v>0.95953141640042605</v>
      </c>
      <c r="P108" s="96">
        <f t="shared" si="10"/>
        <v>0.49970005998800238</v>
      </c>
      <c r="Q108" s="96">
        <f t="shared" si="10"/>
        <v>0.63576200287194884</v>
      </c>
      <c r="R108" s="96">
        <f t="shared" si="10"/>
        <v>0.55313351498637586</v>
      </c>
      <c r="S108" s="96">
        <f t="shared" si="10"/>
        <v>0.64285714285714279</v>
      </c>
      <c r="T108" s="96">
        <f t="shared" si="10"/>
        <v>0.54373927958833623</v>
      </c>
      <c r="U108" s="96">
        <f t="shared" si="10"/>
        <v>0.49639194834789224</v>
      </c>
      <c r="V108" s="96">
        <f t="shared" si="10"/>
        <v>0.60748056314351762</v>
      </c>
      <c r="W108" s="96">
        <f t="shared" si="10"/>
        <v>0.6272189349112427</v>
      </c>
      <c r="X108" s="96">
        <f t="shared" si="10"/>
        <v>0.50303805564438786</v>
      </c>
      <c r="Y108" s="96">
        <f t="shared" si="10"/>
        <v>0.72325462251408879</v>
      </c>
      <c r="Z108" s="96">
        <f t="shared" si="10"/>
        <v>0.75801128828300923</v>
      </c>
      <c r="AA108" s="96">
        <f t="shared" si="10"/>
        <v>0.95895522388059695</v>
      </c>
      <c r="AB108" s="96">
        <f t="shared" si="10"/>
        <v>0.87125748502993994</v>
      </c>
      <c r="AC108" s="96">
        <f t="shared" si="10"/>
        <v>0.75541878512175531</v>
      </c>
      <c r="AD108" s="96">
        <f t="shared" si="10"/>
        <v>0.6998159992990447</v>
      </c>
      <c r="AE108" s="96">
        <f t="shared" si="10"/>
        <v>1.0349533157768733</v>
      </c>
      <c r="AF108" s="96">
        <f t="shared" si="10"/>
        <v>0.70403587443946192</v>
      </c>
      <c r="AG108" s="96">
        <f t="shared" si="10"/>
        <v>0.69584245076586426</v>
      </c>
      <c r="AH108" s="96">
        <f t="shared" si="10"/>
        <v>0.69806643529995038</v>
      </c>
      <c r="AI108" s="96">
        <f t="shared" si="10"/>
        <v>0.59840159840159868</v>
      </c>
      <c r="AJ108" s="96">
        <f t="shared" si="10"/>
        <v>1.0362828582006665</v>
      </c>
      <c r="AK108" s="96">
        <f t="shared" si="10"/>
        <v>1.1803399852180343</v>
      </c>
      <c r="AL108" s="96">
        <f t="shared" si="10"/>
        <v>1.1154535675869486</v>
      </c>
      <c r="AM108" s="96">
        <f t="shared" si="10"/>
        <v>1.4890190336749631</v>
      </c>
      <c r="AN108" s="96">
        <f t="shared" si="10"/>
        <v>1.2276366167768882</v>
      </c>
      <c r="AO108" s="96">
        <f t="shared" si="10"/>
        <v>1.0689655172413794</v>
      </c>
      <c r="AP108" s="96">
        <f t="shared" si="10"/>
        <v>0.72294968986905594</v>
      </c>
      <c r="AQ108" s="96">
        <f t="shared" si="10"/>
        <v>1.0241339042428961</v>
      </c>
      <c r="AR108" s="271">
        <f t="shared" si="10"/>
        <v>97.7</v>
      </c>
      <c r="AS108" s="271">
        <f t="shared" si="10"/>
        <v>85.635999999999996</v>
      </c>
      <c r="AT108" s="96">
        <f t="shared" si="10"/>
        <v>0.99768384481760286</v>
      </c>
    </row>
    <row r="109" spans="1:47">
      <c r="A109" s="96" t="e">
        <f t="shared" ref="A109:AT109" si="11">SMALL(A$4:A$95,A$100-1)</f>
        <v>#NUM!</v>
      </c>
      <c r="B109" s="96" t="e">
        <f t="shared" si="11"/>
        <v>#NUM!</v>
      </c>
      <c r="C109" s="96" t="e">
        <f t="shared" si="11"/>
        <v>#NUM!</v>
      </c>
      <c r="D109" s="96" t="e">
        <f t="shared" si="11"/>
        <v>#NUM!</v>
      </c>
      <c r="E109" s="96">
        <f t="shared" si="11"/>
        <v>1.2539009824696592</v>
      </c>
      <c r="F109" s="96">
        <f t="shared" si="11"/>
        <v>0.69620253164556956</v>
      </c>
      <c r="G109" s="96">
        <f t="shared" si="11"/>
        <v>2.1496062992125982</v>
      </c>
      <c r="H109" s="96">
        <f t="shared" si="11"/>
        <v>0.9310117181052977</v>
      </c>
      <c r="I109" s="96">
        <f t="shared" si="11"/>
        <v>0.86125211505922161</v>
      </c>
      <c r="J109" s="96">
        <f t="shared" si="11"/>
        <v>0.68546137989571965</v>
      </c>
      <c r="K109" s="96">
        <f t="shared" si="11"/>
        <v>1.4251069900142652</v>
      </c>
      <c r="L109" s="96">
        <f t="shared" si="11"/>
        <v>1.4515266324938709</v>
      </c>
      <c r="M109" s="96">
        <f t="shared" si="11"/>
        <v>0.67745344076079772</v>
      </c>
      <c r="N109" s="96">
        <f t="shared" si="11"/>
        <v>0.66584124983116455</v>
      </c>
      <c r="O109" s="96">
        <f t="shared" si="11"/>
        <v>1.0278833967046896</v>
      </c>
      <c r="P109" s="96">
        <f t="shared" si="11"/>
        <v>0.56412930135557882</v>
      </c>
      <c r="Q109" s="96">
        <f t="shared" si="11"/>
        <v>0.66350170907709827</v>
      </c>
      <c r="R109" s="96">
        <f t="shared" si="11"/>
        <v>0.59664994625582257</v>
      </c>
      <c r="S109" s="96">
        <f t="shared" si="11"/>
        <v>0.85676392572944304</v>
      </c>
      <c r="T109" s="96">
        <f t="shared" si="11"/>
        <v>0.60403299725022919</v>
      </c>
      <c r="U109" s="96">
        <f t="shared" si="11"/>
        <v>0.5046513079852657</v>
      </c>
      <c r="V109" s="96">
        <f t="shared" si="11"/>
        <v>0.66357643180881754</v>
      </c>
      <c r="W109" s="96">
        <f t="shared" si="11"/>
        <v>0.67954316425932149</v>
      </c>
      <c r="X109" s="96">
        <f t="shared" si="11"/>
        <v>0.55261644623346751</v>
      </c>
      <c r="Y109" s="96">
        <f t="shared" si="11"/>
        <v>0.80439330543933085</v>
      </c>
      <c r="Z109" s="96">
        <f t="shared" si="11"/>
        <v>0.76462217162373669</v>
      </c>
      <c r="AA109" s="96">
        <f t="shared" si="11"/>
        <v>0.98255352894528158</v>
      </c>
      <c r="AB109" s="96">
        <f t="shared" si="11"/>
        <v>0.98717948717948723</v>
      </c>
      <c r="AC109" s="96">
        <f t="shared" si="11"/>
        <v>0.81088589361045393</v>
      </c>
      <c r="AD109" s="96">
        <f t="shared" si="11"/>
        <v>0.8185575532134739</v>
      </c>
      <c r="AE109" s="96">
        <f t="shared" si="11"/>
        <v>1.0509193776520509</v>
      </c>
      <c r="AF109" s="96">
        <f t="shared" si="11"/>
        <v>0.71534538711172924</v>
      </c>
      <c r="AG109" s="96">
        <f t="shared" si="11"/>
        <v>1.0518508248994873</v>
      </c>
      <c r="AH109" s="96">
        <f t="shared" si="11"/>
        <v>0.98657718120805371</v>
      </c>
      <c r="AI109" s="96">
        <f t="shared" si="11"/>
        <v>0.66574125485841207</v>
      </c>
      <c r="AJ109" s="96">
        <f t="shared" si="11"/>
        <v>1.0487804878048781</v>
      </c>
      <c r="AK109" s="96">
        <f t="shared" si="11"/>
        <v>1.2960229602296023</v>
      </c>
      <c r="AL109" s="96">
        <f t="shared" si="11"/>
        <v>1.306615042425241</v>
      </c>
      <c r="AM109" s="96">
        <f t="shared" si="11"/>
        <v>1.7813993915688831</v>
      </c>
      <c r="AN109" s="96">
        <f t="shared" si="11"/>
        <v>1.3068552774755169</v>
      </c>
      <c r="AO109" s="96">
        <f t="shared" si="11"/>
        <v>1.5935310776568787</v>
      </c>
      <c r="AP109" s="96">
        <f t="shared" si="11"/>
        <v>0.99630314232902051</v>
      </c>
      <c r="AQ109" s="96">
        <f t="shared" si="11"/>
        <v>1.2222222222222223</v>
      </c>
      <c r="AR109" s="271">
        <f t="shared" si="11"/>
        <v>129.30000000000001</v>
      </c>
      <c r="AS109" s="271">
        <f t="shared" si="11"/>
        <v>110.80099999999999</v>
      </c>
      <c r="AT109" s="96">
        <f t="shared" si="11"/>
        <v>1.3210831721470018</v>
      </c>
    </row>
    <row r="110" spans="1:47">
      <c r="A110" s="96" t="e">
        <f t="shared" ref="A110:AT110" si="12">SMALL(A$4:A$95,A$100)</f>
        <v>#NUM!</v>
      </c>
      <c r="B110" s="96" t="e">
        <f t="shared" si="12"/>
        <v>#NUM!</v>
      </c>
      <c r="C110" s="96" t="e">
        <f t="shared" si="12"/>
        <v>#NUM!</v>
      </c>
      <c r="D110" s="96" t="e">
        <f t="shared" si="12"/>
        <v>#NUM!</v>
      </c>
      <c r="E110" s="96">
        <f t="shared" si="12"/>
        <v>1.3947866110693372</v>
      </c>
      <c r="F110" s="96">
        <f t="shared" si="12"/>
        <v>0.79934453959192275</v>
      </c>
      <c r="G110" s="96">
        <f t="shared" si="12"/>
        <v>3.0919637207340225</v>
      </c>
      <c r="H110" s="96">
        <f t="shared" si="12"/>
        <v>1.9942892421670009</v>
      </c>
      <c r="I110" s="96">
        <f t="shared" si="12"/>
        <v>1.4193131939065329</v>
      </c>
      <c r="J110" s="96">
        <f t="shared" si="12"/>
        <v>0.77941647964091065</v>
      </c>
      <c r="K110" s="96">
        <f t="shared" si="12"/>
        <v>1.4425989252564726</v>
      </c>
      <c r="L110" s="96">
        <f t="shared" si="12"/>
        <v>1.6810912511759173</v>
      </c>
      <c r="M110" s="96">
        <f t="shared" si="12"/>
        <v>1.4583155194527575</v>
      </c>
      <c r="N110" s="96">
        <f t="shared" si="12"/>
        <v>0.71623123957754298</v>
      </c>
      <c r="O110" s="96">
        <f t="shared" si="12"/>
        <v>1.4174053182917001</v>
      </c>
      <c r="P110" s="96">
        <f t="shared" si="12"/>
        <v>0.70321481796891638</v>
      </c>
      <c r="Q110" s="96">
        <f t="shared" si="12"/>
        <v>1.5417988663505757</v>
      </c>
      <c r="R110" s="96">
        <f t="shared" si="12"/>
        <v>0.69518461619960759</v>
      </c>
      <c r="S110" s="96">
        <f t="shared" si="12"/>
        <v>1.5848765432098766</v>
      </c>
      <c r="T110" s="96">
        <f t="shared" si="12"/>
        <v>0.671891327063741</v>
      </c>
      <c r="U110" s="96">
        <f t="shared" si="12"/>
        <v>1.302948201490143</v>
      </c>
      <c r="V110" s="96">
        <f t="shared" si="12"/>
        <v>0.71701297945404785</v>
      </c>
      <c r="W110" s="96">
        <f t="shared" si="12"/>
        <v>1.5107367030062768</v>
      </c>
      <c r="X110" s="96">
        <f t="shared" si="12"/>
        <v>1.254283137962128</v>
      </c>
      <c r="Y110" s="96">
        <f t="shared" si="12"/>
        <v>1.5272678903963821</v>
      </c>
      <c r="Z110" s="96">
        <f t="shared" si="12"/>
        <v>0.84196476241324092</v>
      </c>
      <c r="AA110" s="96">
        <f t="shared" si="12"/>
        <v>1.218658112804063</v>
      </c>
      <c r="AB110" s="96">
        <f t="shared" si="12"/>
        <v>1.0446800454373344</v>
      </c>
      <c r="AC110" s="96">
        <f t="shared" si="12"/>
        <v>1.6055320742603389</v>
      </c>
      <c r="AD110" s="96">
        <f t="shared" si="12"/>
        <v>0.93422829454285483</v>
      </c>
      <c r="AE110" s="96">
        <f t="shared" si="12"/>
        <v>1.5494071146245063</v>
      </c>
      <c r="AF110" s="96">
        <f t="shared" si="12"/>
        <v>0.82389937106918221</v>
      </c>
      <c r="AG110" s="96">
        <f t="shared" si="12"/>
        <v>1.6263663707725038</v>
      </c>
      <c r="AH110" s="96">
        <f t="shared" si="12"/>
        <v>1.1583167540845238</v>
      </c>
      <c r="AI110" s="96">
        <f t="shared" si="12"/>
        <v>1.2727272727272729</v>
      </c>
      <c r="AJ110" s="96">
        <f t="shared" si="12"/>
        <v>1.7370478983382212</v>
      </c>
      <c r="AK110" s="96">
        <f t="shared" si="12"/>
        <v>1.7453671928620453</v>
      </c>
      <c r="AL110" s="96">
        <f t="shared" si="12"/>
        <v>1.350427350427351</v>
      </c>
      <c r="AM110" s="96">
        <f t="shared" si="12"/>
        <v>2.0372492836676215</v>
      </c>
      <c r="AN110" s="96">
        <f t="shared" si="12"/>
        <v>1.5988700564971747</v>
      </c>
      <c r="AO110" s="96">
        <f t="shared" si="12"/>
        <v>1.6372059871703493</v>
      </c>
      <c r="AP110" s="96">
        <f t="shared" si="12"/>
        <v>1.3064687168610813</v>
      </c>
      <c r="AQ110" s="96">
        <f t="shared" si="12"/>
        <v>1.4676850763807288</v>
      </c>
      <c r="AR110" s="271">
        <f t="shared" si="12"/>
        <v>244.6</v>
      </c>
      <c r="AS110" s="271">
        <f t="shared" si="12"/>
        <v>198.185</v>
      </c>
      <c r="AT110" s="96">
        <f t="shared" si="12"/>
        <v>2.0065359477124178</v>
      </c>
    </row>
    <row r="111" spans="1:47">
      <c r="A111" s="122" t="e">
        <f>VLOOKUP(A101,$A$4:$AS$95,47,FALSE)</f>
        <v>#NUM!</v>
      </c>
      <c r="B111" s="122" t="e">
        <f>VLOOKUP(B101,$B$4:$AS$95,46,FALSE)</f>
        <v>#NUM!</v>
      </c>
      <c r="C111" s="122" t="e">
        <f>VLOOKUP(C101,$C$4:$AS$95,45,FALSE)</f>
        <v>#NUM!</v>
      </c>
      <c r="D111" s="122" t="e">
        <f>VLOOKUP(D101,$D$4:$AT$95,44,FALSE)</f>
        <v>#NUM!</v>
      </c>
      <c r="E111" s="122" t="str">
        <f t="shared" ref="E111:E120" si="13">VLOOKUP(E101,$E$4:$AU$95,43,FALSE)</f>
        <v xml:space="preserve">      DENMARK</v>
      </c>
      <c r="F111" s="122" t="str">
        <f t="shared" ref="F111:F120" si="14">VLOOKUP(F101,$F$4:$AU$95,42,FALSE)</f>
        <v>FRANCE</v>
      </c>
      <c r="G111" s="122" t="str">
        <f t="shared" ref="G111:G120" si="15">VLOOKUP(G101,$G$4:$AU$95,41,FALSE)</f>
        <v>LITHUANIA</v>
      </c>
      <c r="H111" s="122" t="str">
        <f t="shared" ref="H111:H120" si="16">VLOOKUP(H101,$H$4:$AU$95,40,FALSE)</f>
        <v>AUSTRIA</v>
      </c>
      <c r="I111" s="122" t="str">
        <f t="shared" ref="I111:I120" si="17">VLOOKUP(I101,$I$4:$AU$95,39,FALSE)</f>
        <v xml:space="preserve">      NORWAY</v>
      </c>
      <c r="J111" s="122" t="str">
        <f t="shared" ref="J111:J120" si="18">VLOOKUP(J101,$J$4:$AU$95,38,FALSE)</f>
        <v>IRELAND</v>
      </c>
      <c r="K111" s="122" t="str">
        <f t="shared" ref="K111:K120" si="19">VLOOKUP(K101,$K$4:$AU$95,37,FALSE)</f>
        <v>MEXICO</v>
      </c>
      <c r="L111" s="122" t="str">
        <f t="shared" ref="L111:L120" si="20">VLOOKUP(L101,$L$4:$AU$95,36,FALSE)</f>
        <v>IRELAND</v>
      </c>
      <c r="M111" s="122" t="str">
        <f t="shared" ref="M111:M120" si="21">VLOOKUP(M101,$M$4:$AU$95,35,FALSE)</f>
        <v>FRANCE</v>
      </c>
      <c r="N111" s="122" t="str">
        <f t="shared" ref="N111:N120" si="22">VLOOKUP(N101,$N$4:$AU$95,34,FALSE)</f>
        <v>FRANCE</v>
      </c>
      <c r="O111" s="122" t="str">
        <f>VLOOKUP(O101,$O$4:$AU$95,33,FALSE)</f>
        <v>NORDIC COUNTRIES</v>
      </c>
      <c r="P111" s="122" t="str">
        <f>VLOOKUP(P101,$P$4:$AU$95,32,FALSE)</f>
        <v>BELGIUM</v>
      </c>
      <c r="Q111" s="122" t="str">
        <f>VLOOKUP(Q101,$Q$4:$AU$95,31,FALSE)</f>
        <v>RUSSIA</v>
      </c>
      <c r="R111" s="122" t="str">
        <f>VLOOKUP(R101,$R$4:$AU$95,30,FALSE)</f>
        <v>FRANCE</v>
      </c>
      <c r="S111" s="122" t="str">
        <f>VLOOKUP(S101,$S$4:$AU$95,29,FALSE)</f>
        <v>NORDIC COUNTRIES</v>
      </c>
      <c r="T111" s="122" t="str">
        <f>VLOOKUP(T101,$T$4:$AU$95,28,FALSE)</f>
        <v>UKRAINE</v>
      </c>
      <c r="U111" s="122" t="str">
        <f>VLOOKUP(U101,$U$4:$AU$95,27,FALSE)</f>
        <v>JORDAN</v>
      </c>
      <c r="V111" s="122" t="str">
        <f>VLOOKUP(V101,$V$4:$AU$95,26,FALSE)</f>
        <v>JORDAN</v>
      </c>
      <c r="W111" s="122" t="str">
        <f>VLOOKUP(W101,$W$4:$AU$95,25,FALSE)</f>
        <v>JORDAN</v>
      </c>
      <c r="X111" s="122" t="str">
        <f>VLOOKUP(X101,$X$4:$AU$95,24,FALSE)</f>
        <v>JORDAN</v>
      </c>
      <c r="Y111" s="122" t="str">
        <f>VLOOKUP(Y101,$Y$4:$AU$95,23,FALSE)</f>
        <v>RUSSIA</v>
      </c>
      <c r="Z111" s="122" t="str">
        <f>VLOOKUP(Z101,$Z$4:$AU$95,22,FALSE)</f>
        <v>JORDAN</v>
      </c>
      <c r="AA111" s="122" t="str">
        <f>VLOOKUP(AA101,$AA$4:$AU$95,21,FALSE)</f>
        <v>RUSSIA</v>
      </c>
      <c r="AB111" s="122" t="str">
        <f>VLOOKUP(AB101,$AB$4:$AU$95,20,FALSE)</f>
        <v>BELGIUM</v>
      </c>
      <c r="AC111" s="122" t="str">
        <f>VLOOKUP(AC101,$AC$4:$AU$95,19,FALSE)</f>
        <v xml:space="preserve">      SWEDEN</v>
      </c>
      <c r="AD111" s="122" t="str">
        <f>VLOOKUP(AD101,$AD$4:$AU$95,18,FALSE)</f>
        <v>BELARUS</v>
      </c>
      <c r="AE111" s="122" t="str">
        <f>VLOOKUP(AE101,$AE$4:$AU$95,17,FALSE)</f>
        <v>NORDIC COUNTRIES</v>
      </c>
      <c r="AF111" s="122" t="str">
        <f>VLOOKUP(AF101,$AF$4:$AU$95,16,FALSE)</f>
        <v>TURKEY</v>
      </c>
      <c r="AG111" s="122" t="str">
        <f>VLOOKUP(AG101,$AG$4:$AU$95,15,FALSE)</f>
        <v xml:space="preserve">      DENMARK</v>
      </c>
      <c r="AH111" s="122" t="str">
        <f>VLOOKUP(AH101,$AH$4:$AU$95,14,FALSE)</f>
        <v>EGYPT</v>
      </c>
      <c r="AI111" s="122" t="str">
        <f>VLOOKUP(AI101,$AI$4:$AU$95,13,FALSE)</f>
        <v>BRAZIL</v>
      </c>
      <c r="AJ111" s="122" t="str">
        <f>VLOOKUP(AJ101,$AJ$4:$AU$95,12,FALSE)</f>
        <v>EGYPT</v>
      </c>
      <c r="AK111" s="122" t="str">
        <f>VLOOKUP(AK101,$AK$4:$AU$95,11,FALSE)</f>
        <v xml:space="preserve">      DENMARK</v>
      </c>
      <c r="AL111" s="122" t="str">
        <f>VLOOKUP(AL101,$AL$4:$AU$95,10,FALSE)</f>
        <v xml:space="preserve">      DENMARK</v>
      </c>
      <c r="AM111" s="122" t="str">
        <f>VLOOKUP(AM101,$AM$4:$AU$95,9,FALSE)</f>
        <v xml:space="preserve">      DENMARK</v>
      </c>
      <c r="AN111" s="122" t="str">
        <f>VLOOKUP(AN101,$AN$4:$AU$95,8,FALSE)</f>
        <v xml:space="preserve">      DENMARK</v>
      </c>
      <c r="AO111" s="122" t="str">
        <f>VLOOKUP(AO101,$AO$4:$AU$95,7,FALSE)</f>
        <v>RUSSIA</v>
      </c>
      <c r="AP111" s="122" t="str">
        <f>VLOOKUP(AP101,$AP$4:$AU$95,6,FALSE)</f>
        <v xml:space="preserve">      DENMARK</v>
      </c>
      <c r="AQ111" s="122" t="str">
        <f>VLOOKUP(AQ101,$AQ$4:$AU$95,5,FALSE)</f>
        <v>POLAND</v>
      </c>
      <c r="AR111" s="122" t="str">
        <f>VLOOKUP(AR101,$AR$4:$AU$95,4,FALSE)</f>
        <v xml:space="preserve">      DENMARK</v>
      </c>
      <c r="AS111" s="122" t="str">
        <f>VLOOKUP(AS101,$AS$4:$AU$95,3,FALSE)</f>
        <v xml:space="preserve">      SWEDEN</v>
      </c>
      <c r="AT111" s="122" t="str">
        <f t="shared" ref="AT111:AT120" si="23">VLOOKUP(AT101,$AT$4:$AU$95,2,FALSE)</f>
        <v>NORDIC COUNTRIES</v>
      </c>
    </row>
    <row r="112" spans="1:47">
      <c r="A112" s="122" t="e">
        <f t="shared" ref="A112:A120" si="24">VLOOKUP(A102,$A$4:$AS$95,47,FALSE)</f>
        <v>#NUM!</v>
      </c>
      <c r="B112" s="122" t="e">
        <f t="shared" ref="B112:B120" si="25">VLOOKUP(B102,$B$4:$AS$95,46,FALSE)</f>
        <v>#NUM!</v>
      </c>
      <c r="C112" s="122" t="e">
        <f t="shared" ref="C112:C120" si="26">VLOOKUP(C102,$C$4:$AS$95,45,FALSE)</f>
        <v>#NUM!</v>
      </c>
      <c r="D112" s="122" t="e">
        <f t="shared" ref="D112:D120" si="27">VLOOKUP(D102,$D$4:$AT$95,44,FALSE)</f>
        <v>#NUM!</v>
      </c>
      <c r="E112" s="122" t="str">
        <f t="shared" si="13"/>
        <v>FRANCE</v>
      </c>
      <c r="F112" s="122" t="str">
        <f t="shared" si="14"/>
        <v>UNITED KINGDOM</v>
      </c>
      <c r="G112" s="122" t="str">
        <f t="shared" si="15"/>
        <v>UNITED KINGDOM</v>
      </c>
      <c r="H112" s="122" t="str">
        <f t="shared" si="16"/>
        <v>UKRAINE</v>
      </c>
      <c r="I112" s="122" t="str">
        <f t="shared" si="17"/>
        <v xml:space="preserve">      DENMARK</v>
      </c>
      <c r="J112" s="122" t="str">
        <f t="shared" si="18"/>
        <v xml:space="preserve">      NORWAY</v>
      </c>
      <c r="K112" s="122" t="str">
        <f t="shared" si="19"/>
        <v>ARGENTINA</v>
      </c>
      <c r="L112" s="122" t="str">
        <f t="shared" si="20"/>
        <v xml:space="preserve">      NORWAY</v>
      </c>
      <c r="M112" s="122" t="str">
        <f t="shared" si="21"/>
        <v>NORDIC COUNTRIES</v>
      </c>
      <c r="N112" s="122" t="str">
        <f t="shared" si="22"/>
        <v>BELGIUM</v>
      </c>
      <c r="O112" s="122" t="str">
        <f t="shared" ref="O112:O120" si="28">VLOOKUP(O102,$O$4:$AU$95,33,FALSE)</f>
        <v>BELGIUM</v>
      </c>
      <c r="P112" s="122" t="str">
        <f t="shared" ref="P112:P120" si="29">VLOOKUP(P102,$P$4:$AU$95,32,FALSE)</f>
        <v>TURKEY</v>
      </c>
      <c r="Q112" s="122" t="str">
        <f t="shared" ref="Q112:Q120" si="30">VLOOKUP(Q102,$Q$4:$AU$95,31,FALSE)</f>
        <v>FRANCE</v>
      </c>
      <c r="R112" s="122" t="str">
        <f t="shared" ref="R112:R120" si="31">VLOOKUP(R102,$R$4:$AU$95,30,FALSE)</f>
        <v>BELARUS</v>
      </c>
      <c r="S112" s="122" t="str">
        <f t="shared" ref="S112:S120" si="32">VLOOKUP(S102,$S$4:$AU$95,29,FALSE)</f>
        <v>FRANCE</v>
      </c>
      <c r="T112" s="122" t="str">
        <f t="shared" ref="T112:T120" si="33">VLOOKUP(T102,$T$4:$AU$95,28,FALSE)</f>
        <v>FRANCE</v>
      </c>
      <c r="U112" s="122" t="str">
        <f t="shared" ref="U112:U120" si="34">VLOOKUP(U102,$U$4:$AU$95,27,FALSE)</f>
        <v>FRANCE</v>
      </c>
      <c r="V112" s="122" t="str">
        <f t="shared" ref="V112:V120" si="35">VLOOKUP(V102,$V$4:$AU$95,26,FALSE)</f>
        <v xml:space="preserve">      DENMARK</v>
      </c>
      <c r="W112" s="122" t="str">
        <f t="shared" ref="W112:W120" si="36">VLOOKUP(W102,$W$4:$AU$95,25,FALSE)</f>
        <v>FRANCE</v>
      </c>
      <c r="X112" s="122" t="str">
        <f t="shared" ref="X112:X120" si="37">VLOOKUP(X102,$X$4:$AU$95,24,FALSE)</f>
        <v>FRANCE</v>
      </c>
      <c r="Y112" s="122" t="str">
        <f t="shared" ref="Y112:Y120" si="38">VLOOKUP(Y102,$Y$4:$AU$95,23,FALSE)</f>
        <v>JORDAN</v>
      </c>
      <c r="Z112" s="122" t="str">
        <f t="shared" ref="Z112:Z120" si="39">VLOOKUP(Z102,$Z$4:$AU$95,22,FALSE)</f>
        <v>BELARUS</v>
      </c>
      <c r="AA112" s="122" t="str">
        <f t="shared" ref="AA112:AA120" si="40">VLOOKUP(AA102,$AA$4:$AU$95,21,FALSE)</f>
        <v>BELGIUM</v>
      </c>
      <c r="AB112" s="122" t="str">
        <f t="shared" ref="AB112:AB120" si="41">VLOOKUP(AB102,$AB$4:$AU$95,20,FALSE)</f>
        <v>KOREA</v>
      </c>
      <c r="AC112" s="122" t="str">
        <f t="shared" ref="AC112:AC120" si="42">VLOOKUP(AC102,$AC$4:$AU$95,19,FALSE)</f>
        <v>RUSSIA</v>
      </c>
      <c r="AD112" s="122" t="str">
        <f t="shared" ref="AD112:AD120" si="43">VLOOKUP(AD102,$AD$4:$AU$95,18,FALSE)</f>
        <v>NORDIC COUNTRIES</v>
      </c>
      <c r="AE112" s="122" t="str">
        <f t="shared" ref="AE112:AE120" si="44">VLOOKUP(AE102,$AE$4:$AU$95,17,FALSE)</f>
        <v xml:space="preserve">      SWEDEN</v>
      </c>
      <c r="AF112" s="122" t="str">
        <f t="shared" ref="AF112:AF120" si="45">VLOOKUP(AF102,$AF$4:$AU$95,16,FALSE)</f>
        <v>UNITED KINGDOM</v>
      </c>
      <c r="AG112" s="122" t="str">
        <f t="shared" ref="AG112:AG120" si="46">VLOOKUP(AG102,$AG$4:$AU$95,15,FALSE)</f>
        <v>BRAZIL</v>
      </c>
      <c r="AH112" s="122" t="str">
        <f t="shared" ref="AH112:AH120" si="47">VLOOKUP(AH102,$AH$4:$AU$95,14,FALSE)</f>
        <v>BELARUS</v>
      </c>
      <c r="AI112" s="122" t="str">
        <f t="shared" ref="AI112:AI120" si="48">VLOOKUP(AI102,$AI$4:$AU$95,13,FALSE)</f>
        <v>POLAND</v>
      </c>
      <c r="AJ112" s="122" t="str">
        <f t="shared" ref="AJ112:AJ120" si="49">VLOOKUP(AJ102,$AJ$4:$AU$95,12,FALSE)</f>
        <v>FRANCE</v>
      </c>
      <c r="AK112" s="122" t="str">
        <f t="shared" ref="AK112:AK120" si="50">VLOOKUP(AK102,$AK$4:$AU$95,11,FALSE)</f>
        <v>RUSSIA</v>
      </c>
      <c r="AL112" s="122" t="str">
        <f t="shared" ref="AL112:AL120" si="51">VLOOKUP(AL102,$AL$4:$AU$95,10,FALSE)</f>
        <v>NORDIC COUNTRIES</v>
      </c>
      <c r="AM112" s="122" t="str">
        <f t="shared" ref="AM112:AM120" si="52">VLOOKUP(AM102,$AM$4:$AU$95,9,FALSE)</f>
        <v>NORDIC COUNTRIES</v>
      </c>
      <c r="AN112" s="122" t="str">
        <f t="shared" ref="AN112:AN120" si="53">VLOOKUP(AN102,$AN$4:$AU$95,8,FALSE)</f>
        <v>NORDIC COUNTRIES</v>
      </c>
      <c r="AO112" s="122" t="str">
        <f t="shared" ref="AO112:AO120" si="54">VLOOKUP(AO102,$AO$4:$AU$95,7,FALSE)</f>
        <v>ITALY</v>
      </c>
      <c r="AP112" s="122" t="str">
        <f t="shared" ref="AP112:AP120" si="55">VLOOKUP(AP102,$AP$4:$AU$95,6,FALSE)</f>
        <v>FRANCE</v>
      </c>
      <c r="AQ112" s="122" t="str">
        <f t="shared" ref="AQ112:AQ120" si="56">VLOOKUP(AQ102,$AQ$4:$AU$95,5,FALSE)</f>
        <v>FRANCE</v>
      </c>
      <c r="AR112" s="122" t="str">
        <f t="shared" ref="AR112:AR120" si="57">VLOOKUP(AR102,$AR$4:$AU$95,4,FALSE)</f>
        <v>HUNGARY</v>
      </c>
      <c r="AS112" s="122" t="str">
        <f t="shared" ref="AS112:AS120" si="58">VLOOKUP(AS102,$AS$4:$AU$95,3,FALSE)</f>
        <v>HUNGARY</v>
      </c>
      <c r="AT112" s="122" t="str">
        <f t="shared" si="23"/>
        <v>BELGIUM</v>
      </c>
    </row>
    <row r="113" spans="1:46">
      <c r="A113" s="122" t="e">
        <f t="shared" si="24"/>
        <v>#NUM!</v>
      </c>
      <c r="B113" s="122" t="e">
        <f t="shared" si="25"/>
        <v>#NUM!</v>
      </c>
      <c r="C113" s="122" t="e">
        <f t="shared" si="26"/>
        <v>#NUM!</v>
      </c>
      <c r="D113" s="122" t="e">
        <f t="shared" si="27"/>
        <v>#NUM!</v>
      </c>
      <c r="E113" s="122" t="str">
        <f t="shared" si="13"/>
        <v>NORDIC COUNTRIES</v>
      </c>
      <c r="F113" s="122" t="str">
        <f t="shared" si="14"/>
        <v xml:space="preserve">      DENMARK</v>
      </c>
      <c r="G113" s="122" t="str">
        <f t="shared" si="15"/>
        <v>BELGIUM</v>
      </c>
      <c r="H113" s="122" t="str">
        <f t="shared" si="16"/>
        <v xml:space="preserve">      FINLAND</v>
      </c>
      <c r="I113" s="122" t="str">
        <f t="shared" si="17"/>
        <v>FRANCE</v>
      </c>
      <c r="J113" s="122" t="str">
        <f t="shared" si="18"/>
        <v>FRANCE</v>
      </c>
      <c r="K113" s="122" t="str">
        <f t="shared" si="19"/>
        <v xml:space="preserve">      FINLAND</v>
      </c>
      <c r="L113" s="122" t="str">
        <f t="shared" si="20"/>
        <v>BELARUS</v>
      </c>
      <c r="M113" s="122" t="str">
        <f t="shared" si="21"/>
        <v>RUSSIA</v>
      </c>
      <c r="N113" s="122" t="str">
        <f t="shared" si="22"/>
        <v>UNITED KINGDOM</v>
      </c>
      <c r="O113" s="122" t="str">
        <f t="shared" si="28"/>
        <v xml:space="preserve">      SWEDEN</v>
      </c>
      <c r="P113" s="122" t="str">
        <f t="shared" si="29"/>
        <v>INDIA</v>
      </c>
      <c r="Q113" s="122" t="str">
        <f t="shared" si="30"/>
        <v>NORDIC COUNTRIES</v>
      </c>
      <c r="R113" s="122" t="str">
        <f t="shared" si="31"/>
        <v>BELGIUM</v>
      </c>
      <c r="S113" s="122" t="str">
        <f t="shared" si="32"/>
        <v>RUSSIA</v>
      </c>
      <c r="T113" s="122" t="str">
        <f t="shared" si="33"/>
        <v>NETHERLANDS</v>
      </c>
      <c r="U113" s="122" t="str">
        <f t="shared" si="34"/>
        <v xml:space="preserve">      DENMARK</v>
      </c>
      <c r="V113" s="122" t="str">
        <f t="shared" si="35"/>
        <v>BELARUS</v>
      </c>
      <c r="W113" s="122" t="str">
        <f t="shared" si="36"/>
        <v xml:space="preserve">      DENMARK</v>
      </c>
      <c r="X113" s="122" t="str">
        <f t="shared" si="37"/>
        <v>SWITZERLAND</v>
      </c>
      <c r="Y113" s="122" t="str">
        <f t="shared" si="38"/>
        <v>BELARUS</v>
      </c>
      <c r="Z113" s="122" t="str">
        <f t="shared" si="39"/>
        <v>BELGIUM</v>
      </c>
      <c r="AA113" s="122" t="str">
        <f t="shared" si="40"/>
        <v>JORDAN</v>
      </c>
      <c r="AB113" s="122" t="str">
        <f t="shared" si="41"/>
        <v>TURKEY</v>
      </c>
      <c r="AC113" s="122" t="str">
        <f t="shared" si="42"/>
        <v>NORDIC COUNTRIES</v>
      </c>
      <c r="AD113" s="122" t="str">
        <f t="shared" si="43"/>
        <v>FRANCE</v>
      </c>
      <c r="AE113" s="122" t="str">
        <f t="shared" si="44"/>
        <v>RUSSIA</v>
      </c>
      <c r="AF113" s="122" t="str">
        <f t="shared" si="45"/>
        <v>ARGENTINA</v>
      </c>
      <c r="AG113" s="122" t="str">
        <f t="shared" si="46"/>
        <v xml:space="preserve">      SWEDEN</v>
      </c>
      <c r="AH113" s="122" t="str">
        <f t="shared" si="47"/>
        <v xml:space="preserve">      DENMARK</v>
      </c>
      <c r="AI113" s="122" t="str">
        <f t="shared" si="48"/>
        <v xml:space="preserve">      SWEDEN</v>
      </c>
      <c r="AJ113" s="122" t="str">
        <f t="shared" si="49"/>
        <v>KOREA</v>
      </c>
      <c r="AK113" s="122" t="str">
        <f t="shared" si="50"/>
        <v>FRANCE</v>
      </c>
      <c r="AL113" s="122" t="str">
        <f t="shared" si="51"/>
        <v>BELGIUM</v>
      </c>
      <c r="AM113" s="122" t="str">
        <f t="shared" si="52"/>
        <v>UNITED KINGDOM</v>
      </c>
      <c r="AN113" s="122" t="str">
        <f t="shared" si="53"/>
        <v>BELGIUM</v>
      </c>
      <c r="AO113" s="122" t="str">
        <f t="shared" si="54"/>
        <v>FRANCE</v>
      </c>
      <c r="AP113" s="122" t="str">
        <f t="shared" si="55"/>
        <v>NORDIC COUNTRIES</v>
      </c>
      <c r="AQ113" s="122" t="str">
        <f t="shared" si="56"/>
        <v>ITALY</v>
      </c>
      <c r="AR113" s="122" t="str">
        <f t="shared" si="57"/>
        <v>LITHUANIA</v>
      </c>
      <c r="AS113" s="122" t="str">
        <f t="shared" si="58"/>
        <v>INDONESIA</v>
      </c>
      <c r="AT113" s="122" t="str">
        <f t="shared" si="23"/>
        <v>INDIA</v>
      </c>
    </row>
    <row r="114" spans="1:46">
      <c r="A114" s="122" t="e">
        <f t="shared" si="24"/>
        <v>#NUM!</v>
      </c>
      <c r="B114" s="122" t="e">
        <f t="shared" si="25"/>
        <v>#NUM!</v>
      </c>
      <c r="C114" s="122" t="e">
        <f t="shared" si="26"/>
        <v>#NUM!</v>
      </c>
      <c r="D114" s="122" t="e">
        <f t="shared" si="27"/>
        <v>#NUM!</v>
      </c>
      <c r="E114" s="122" t="str">
        <f t="shared" si="13"/>
        <v>RUSSIA</v>
      </c>
      <c r="F114" s="122" t="str">
        <f t="shared" si="14"/>
        <v>BELGIUM</v>
      </c>
      <c r="G114" s="122" t="str">
        <f t="shared" si="15"/>
        <v>AUSTRIA</v>
      </c>
      <c r="H114" s="122" t="str">
        <f t="shared" si="16"/>
        <v>UNITED KINGDOM</v>
      </c>
      <c r="I114" s="122" t="str">
        <f t="shared" si="17"/>
        <v>NORDIC COUNTRIES</v>
      </c>
      <c r="J114" s="122" t="str">
        <f t="shared" si="18"/>
        <v>BELGIUM</v>
      </c>
      <c r="K114" s="122" t="str">
        <f t="shared" si="19"/>
        <v xml:space="preserve">      NORWAY</v>
      </c>
      <c r="L114" s="122" t="str">
        <f t="shared" si="20"/>
        <v>UKRAINE</v>
      </c>
      <c r="M114" s="122" t="str">
        <f t="shared" si="21"/>
        <v xml:space="preserve">      SWEDEN</v>
      </c>
      <c r="N114" s="122" t="str">
        <f t="shared" si="22"/>
        <v>NORDIC COUNTRIES</v>
      </c>
      <c r="O114" s="122" t="str">
        <f t="shared" si="28"/>
        <v>FRANCE</v>
      </c>
      <c r="P114" s="122" t="str">
        <f t="shared" si="29"/>
        <v>UNITED KINGDOM</v>
      </c>
      <c r="Q114" s="122" t="str">
        <f t="shared" si="30"/>
        <v>BELGIUM</v>
      </c>
      <c r="R114" s="122" t="str">
        <f t="shared" si="31"/>
        <v>UNITED KINGDOM</v>
      </c>
      <c r="S114" s="122" t="str">
        <f t="shared" si="32"/>
        <v>ITALY</v>
      </c>
      <c r="T114" s="122" t="str">
        <f t="shared" si="33"/>
        <v>TURKEY</v>
      </c>
      <c r="U114" s="122" t="str">
        <f t="shared" si="34"/>
        <v>RUSSIA</v>
      </c>
      <c r="V114" s="122" t="str">
        <f t="shared" si="35"/>
        <v>FRANCE</v>
      </c>
      <c r="W114" s="122" t="str">
        <f t="shared" si="36"/>
        <v>BELGIUM</v>
      </c>
      <c r="X114" s="122" t="str">
        <f t="shared" si="37"/>
        <v>UKRAINE</v>
      </c>
      <c r="Y114" s="122" t="str">
        <f t="shared" si="38"/>
        <v>POLAND</v>
      </c>
      <c r="Z114" s="122" t="str">
        <f t="shared" si="39"/>
        <v>NORDIC COUNTRIES</v>
      </c>
      <c r="AA114" s="122" t="str">
        <f t="shared" si="40"/>
        <v>NORDIC COUNTRIES</v>
      </c>
      <c r="AB114" s="122" t="str">
        <f t="shared" si="41"/>
        <v>FRANCE</v>
      </c>
      <c r="AC114" s="122" t="str">
        <f t="shared" si="42"/>
        <v>FRANCE</v>
      </c>
      <c r="AD114" s="122" t="str">
        <f t="shared" si="43"/>
        <v>BELGIUM</v>
      </c>
      <c r="AE114" s="122" t="str">
        <f t="shared" si="44"/>
        <v>NETHERLANDS</v>
      </c>
      <c r="AF114" s="122" t="str">
        <f t="shared" si="45"/>
        <v>BELGIUM</v>
      </c>
      <c r="AG114" s="122" t="str">
        <f t="shared" si="46"/>
        <v>RUSSIA</v>
      </c>
      <c r="AH114" s="122" t="str">
        <f t="shared" si="47"/>
        <v>NORDIC COUNTRIES</v>
      </c>
      <c r="AI114" s="122" t="str">
        <f t="shared" si="48"/>
        <v>RUSSIA</v>
      </c>
      <c r="AJ114" s="122" t="str">
        <f t="shared" si="49"/>
        <v>UKRAINE</v>
      </c>
      <c r="AK114" s="122" t="str">
        <f t="shared" si="50"/>
        <v xml:space="preserve">      SWEDEN</v>
      </c>
      <c r="AL114" s="122" t="str">
        <f t="shared" si="51"/>
        <v xml:space="preserve">      SWEDEN</v>
      </c>
      <c r="AM114" s="122" t="str">
        <f t="shared" si="52"/>
        <v>BELGIUM</v>
      </c>
      <c r="AN114" s="122" t="str">
        <f t="shared" si="53"/>
        <v xml:space="preserve">      FINLAND</v>
      </c>
      <c r="AO114" s="122" t="str">
        <f t="shared" si="54"/>
        <v>BRAZIL</v>
      </c>
      <c r="AP114" s="122" t="str">
        <f t="shared" si="55"/>
        <v>BELGIUM</v>
      </c>
      <c r="AQ114" s="122" t="str">
        <f t="shared" si="56"/>
        <v xml:space="preserve">      DENMARK</v>
      </c>
      <c r="AR114" s="122" t="str">
        <f t="shared" si="57"/>
        <v>INDIA</v>
      </c>
      <c r="AS114" s="122" t="str">
        <f t="shared" si="58"/>
        <v>AUSTRIA</v>
      </c>
      <c r="AT114" s="122" t="str">
        <f t="shared" si="23"/>
        <v>FRANCE</v>
      </c>
    </row>
    <row r="115" spans="1:46">
      <c r="A115" s="122" t="e">
        <f t="shared" si="24"/>
        <v>#NUM!</v>
      </c>
      <c r="B115" s="122" t="e">
        <f t="shared" si="25"/>
        <v>#NUM!</v>
      </c>
      <c r="C115" s="122" t="e">
        <f t="shared" si="26"/>
        <v>#NUM!</v>
      </c>
      <c r="D115" s="122" t="e">
        <f t="shared" si="27"/>
        <v>#NUM!</v>
      </c>
      <c r="E115" s="122" t="str">
        <f t="shared" si="13"/>
        <v>BELGIUM</v>
      </c>
      <c r="F115" s="122" t="str">
        <f t="shared" si="14"/>
        <v>UKRAINE</v>
      </c>
      <c r="G115" s="122" t="str">
        <f t="shared" si="15"/>
        <v xml:space="preserve">      FINLAND</v>
      </c>
      <c r="H115" s="122" t="str">
        <f t="shared" si="16"/>
        <v>FRANCE</v>
      </c>
      <c r="I115" s="122" t="str">
        <f t="shared" si="17"/>
        <v>RUSSIA</v>
      </c>
      <c r="J115" s="122" t="str">
        <f t="shared" si="18"/>
        <v xml:space="preserve">      DENMARK</v>
      </c>
      <c r="K115" s="122" t="str">
        <f t="shared" si="19"/>
        <v xml:space="preserve">      DENMARK</v>
      </c>
      <c r="L115" s="122" t="str">
        <f t="shared" si="20"/>
        <v>TURKEY</v>
      </c>
      <c r="M115" s="122" t="str">
        <f t="shared" si="21"/>
        <v>BELGIUM</v>
      </c>
      <c r="N115" s="122" t="str">
        <f t="shared" si="22"/>
        <v>BELARUS</v>
      </c>
      <c r="O115" s="122" t="str">
        <f t="shared" si="28"/>
        <v>UNITED KINGDOM</v>
      </c>
      <c r="P115" s="122" t="str">
        <f t="shared" si="29"/>
        <v>FRANCE</v>
      </c>
      <c r="Q115" s="122" t="str">
        <f t="shared" si="30"/>
        <v>ITALY</v>
      </c>
      <c r="R115" s="122" t="str">
        <f t="shared" si="31"/>
        <v>NORDIC COUNTRIES</v>
      </c>
      <c r="S115" s="122" t="str">
        <f t="shared" si="32"/>
        <v>GERMANY</v>
      </c>
      <c r="T115" s="122" t="str">
        <f t="shared" si="33"/>
        <v>NORDIC COUNTRIES</v>
      </c>
      <c r="U115" s="122" t="str">
        <f t="shared" si="34"/>
        <v>ITALY</v>
      </c>
      <c r="V115" s="122" t="str">
        <f t="shared" si="35"/>
        <v>BELGIUM</v>
      </c>
      <c r="W115" s="122" t="str">
        <f t="shared" si="36"/>
        <v>ITALY</v>
      </c>
      <c r="X115" s="122" t="str">
        <f t="shared" si="37"/>
        <v>BELGIUM</v>
      </c>
      <c r="Y115" s="122" t="str">
        <f t="shared" si="38"/>
        <v xml:space="preserve">      SWEDEN</v>
      </c>
      <c r="Z115" s="122" t="str">
        <f t="shared" si="39"/>
        <v>FRANCE</v>
      </c>
      <c r="AA115" s="122" t="str">
        <f t="shared" si="40"/>
        <v xml:space="preserve">      SWEDEN</v>
      </c>
      <c r="AB115" s="122" t="str">
        <f t="shared" si="41"/>
        <v>UNITED KINGDOM</v>
      </c>
      <c r="AC115" s="122" t="str">
        <f t="shared" si="42"/>
        <v>BRAZIL</v>
      </c>
      <c r="AD115" s="122" t="str">
        <f t="shared" si="43"/>
        <v>UNITED KINGDOM</v>
      </c>
      <c r="AE115" s="122" t="str">
        <f t="shared" si="44"/>
        <v>AUSTRIA</v>
      </c>
      <c r="AF115" s="122" t="str">
        <f t="shared" si="45"/>
        <v>GERMANY</v>
      </c>
      <c r="AG115" s="122" t="str">
        <f t="shared" si="46"/>
        <v>FRANCE</v>
      </c>
      <c r="AH115" s="122" t="str">
        <f t="shared" si="47"/>
        <v>FRANCE</v>
      </c>
      <c r="AI115" s="122" t="str">
        <f t="shared" si="48"/>
        <v>INDIA</v>
      </c>
      <c r="AJ115" s="122" t="str">
        <f t="shared" si="49"/>
        <v>INDIA</v>
      </c>
      <c r="AK115" s="122" t="str">
        <f t="shared" si="50"/>
        <v>UNITED KINGDOM</v>
      </c>
      <c r="AL115" s="122" t="str">
        <f t="shared" si="51"/>
        <v xml:space="preserve">      FINLAND</v>
      </c>
      <c r="AM115" s="122" t="str">
        <f t="shared" si="52"/>
        <v>FRANCE</v>
      </c>
      <c r="AN115" s="122" t="str">
        <f t="shared" si="53"/>
        <v xml:space="preserve">      SWEDEN</v>
      </c>
      <c r="AO115" s="122" t="str">
        <f t="shared" si="54"/>
        <v>POLAND</v>
      </c>
      <c r="AP115" s="122" t="str">
        <f t="shared" si="55"/>
        <v>CANADA</v>
      </c>
      <c r="AQ115" s="122" t="str">
        <f t="shared" si="56"/>
        <v>CANADA</v>
      </c>
      <c r="AR115" s="122" t="str">
        <f t="shared" si="57"/>
        <v>BELGIUM</v>
      </c>
      <c r="AS115" s="122" t="str">
        <f t="shared" si="58"/>
        <v>INDIA</v>
      </c>
      <c r="AT115" s="122" t="str">
        <f t="shared" si="23"/>
        <v>OCEANIA</v>
      </c>
    </row>
    <row r="116" spans="1:46">
      <c r="A116" s="122" t="e">
        <f t="shared" si="24"/>
        <v>#NUM!</v>
      </c>
      <c r="B116" s="122" t="e">
        <f t="shared" si="25"/>
        <v>#NUM!</v>
      </c>
      <c r="C116" s="122" t="e">
        <f t="shared" si="26"/>
        <v>#NUM!</v>
      </c>
      <c r="D116" s="122" t="e">
        <f t="shared" si="27"/>
        <v>#NUM!</v>
      </c>
      <c r="E116" s="122" t="str">
        <f t="shared" si="13"/>
        <v>ROMANIA</v>
      </c>
      <c r="F116" s="122" t="str">
        <f t="shared" si="14"/>
        <v>LATVIA</v>
      </c>
      <c r="G116" s="122" t="str">
        <f t="shared" si="15"/>
        <v>SLOVAKIA</v>
      </c>
      <c r="H116" s="122" t="str">
        <f t="shared" si="16"/>
        <v>PHILIPPINES</v>
      </c>
      <c r="I116" s="122" t="str">
        <f t="shared" si="17"/>
        <v>KOREA</v>
      </c>
      <c r="J116" s="122" t="str">
        <f t="shared" si="18"/>
        <v>POLAND</v>
      </c>
      <c r="K116" s="122" t="str">
        <f t="shared" si="19"/>
        <v>AUSTRALIA</v>
      </c>
      <c r="L116" s="122" t="str">
        <f t="shared" si="20"/>
        <v>SLOVAKIA</v>
      </c>
      <c r="M116" s="122" t="str">
        <f t="shared" si="21"/>
        <v>GREECE</v>
      </c>
      <c r="N116" s="122" t="str">
        <f t="shared" si="22"/>
        <v>POLAND</v>
      </c>
      <c r="O116" s="122" t="str">
        <f t="shared" si="28"/>
        <v>POLAND</v>
      </c>
      <c r="P116" s="122" t="str">
        <f t="shared" si="29"/>
        <v>ROMANIA</v>
      </c>
      <c r="Q116" s="122" t="str">
        <f t="shared" si="30"/>
        <v>BELARUS</v>
      </c>
      <c r="R116" s="122" t="str">
        <f t="shared" si="31"/>
        <v>POLAND</v>
      </c>
      <c r="S116" s="122" t="str">
        <f t="shared" si="32"/>
        <v>POLAND</v>
      </c>
      <c r="T116" s="122" t="str">
        <f t="shared" si="33"/>
        <v>AUSTRALIA</v>
      </c>
      <c r="U116" s="122" t="str">
        <f t="shared" si="34"/>
        <v>CZECH REP.</v>
      </c>
      <c r="V116" s="122" t="str">
        <f t="shared" si="35"/>
        <v>ROMANIA</v>
      </c>
      <c r="W116" s="122" t="str">
        <f t="shared" si="36"/>
        <v>AUSTRALIA</v>
      </c>
      <c r="X116" s="122" t="str">
        <f t="shared" si="37"/>
        <v>MEXICO</v>
      </c>
      <c r="Y116" s="122" t="str">
        <f t="shared" si="38"/>
        <v>GREECE</v>
      </c>
      <c r="Z116" s="122" t="str">
        <f t="shared" si="39"/>
        <v>CZECH REP.</v>
      </c>
      <c r="AA116" s="122" t="str">
        <f t="shared" si="40"/>
        <v>CZECH REP.</v>
      </c>
      <c r="AB116" s="122" t="str">
        <f t="shared" si="41"/>
        <v>POLAND</v>
      </c>
      <c r="AC116" s="122" t="str">
        <f t="shared" si="42"/>
        <v>GREECE</v>
      </c>
      <c r="AD116" s="122" t="str">
        <f t="shared" si="43"/>
        <v>GREECE</v>
      </c>
      <c r="AE116" s="122" t="str">
        <f t="shared" si="44"/>
        <v>BELARUS</v>
      </c>
      <c r="AF116" s="122" t="str">
        <f t="shared" si="45"/>
        <v>CHINA</v>
      </c>
      <c r="AG116" s="122" t="str">
        <f t="shared" si="46"/>
        <v>TURKEY</v>
      </c>
      <c r="AH116" s="122" t="str">
        <f t="shared" si="47"/>
        <v>ROMANIA</v>
      </c>
      <c r="AI116" s="122" t="str">
        <f t="shared" si="48"/>
        <v>GERMANY</v>
      </c>
      <c r="AJ116" s="122" t="str">
        <f t="shared" si="49"/>
        <v>SOUTH AFRICA</v>
      </c>
      <c r="AK116" s="122" t="str">
        <f t="shared" si="50"/>
        <v>SLOVAKIA</v>
      </c>
      <c r="AL116" s="122" t="str">
        <f t="shared" si="51"/>
        <v>CZECH REP.</v>
      </c>
      <c r="AM116" s="122" t="str">
        <f t="shared" si="52"/>
        <v>INDIA</v>
      </c>
      <c r="AN116" s="122" t="str">
        <f t="shared" si="53"/>
        <v>CZECH REP.</v>
      </c>
      <c r="AO116" s="122" t="str">
        <f t="shared" si="54"/>
        <v>GREECE</v>
      </c>
      <c r="AP116" s="122" t="str">
        <f t="shared" si="55"/>
        <v>PHILIPPINES</v>
      </c>
      <c r="AQ116" s="122" t="str">
        <f t="shared" si="56"/>
        <v>TURKEY</v>
      </c>
      <c r="AR116" s="122" t="str">
        <f t="shared" si="57"/>
        <v>RUSSIA</v>
      </c>
      <c r="AS116" s="122" t="str">
        <f t="shared" si="58"/>
        <v>FRANCE</v>
      </c>
      <c r="AT116" s="122" t="str">
        <f t="shared" si="23"/>
        <v>GREECE</v>
      </c>
    </row>
    <row r="117" spans="1:46">
      <c r="A117" s="122" t="e">
        <f t="shared" si="24"/>
        <v>#NUM!</v>
      </c>
      <c r="B117" s="122" t="e">
        <f t="shared" si="25"/>
        <v>#NUM!</v>
      </c>
      <c r="C117" s="122" t="e">
        <f t="shared" si="26"/>
        <v>#NUM!</v>
      </c>
      <c r="D117" s="122" t="e">
        <f t="shared" si="27"/>
        <v>#NUM!</v>
      </c>
      <c r="E117" s="122" t="str">
        <f t="shared" si="13"/>
        <v>MALAYSIA</v>
      </c>
      <c r="F117" s="122" t="str">
        <f t="shared" si="14"/>
        <v>BRAZIL</v>
      </c>
      <c r="G117" s="122" t="str">
        <f t="shared" si="15"/>
        <v>KOREA</v>
      </c>
      <c r="H117" s="122" t="str">
        <f t="shared" si="16"/>
        <v>KOREA</v>
      </c>
      <c r="I117" s="122" t="str">
        <f t="shared" si="17"/>
        <v>GREECE</v>
      </c>
      <c r="J117" s="122" t="str">
        <f t="shared" si="18"/>
        <v>GREECE</v>
      </c>
      <c r="K117" s="122" t="str">
        <f t="shared" si="19"/>
        <v>PHILIPPINES</v>
      </c>
      <c r="L117" s="122" t="str">
        <f t="shared" si="20"/>
        <v>KOREA</v>
      </c>
      <c r="M117" s="122" t="str">
        <f t="shared" si="21"/>
        <v>JAPAN</v>
      </c>
      <c r="N117" s="122" t="str">
        <f t="shared" si="22"/>
        <v>CHINA</v>
      </c>
      <c r="O117" s="122" t="str">
        <f t="shared" si="28"/>
        <v>SPAIN</v>
      </c>
      <c r="P117" s="122" t="str">
        <f t="shared" si="29"/>
        <v>INDONESIA</v>
      </c>
      <c r="Q117" s="122" t="str">
        <f t="shared" si="30"/>
        <v>GREECE</v>
      </c>
      <c r="R117" s="122" t="str">
        <f t="shared" si="31"/>
        <v>ROMANIA</v>
      </c>
      <c r="S117" s="122" t="str">
        <f t="shared" si="32"/>
        <v>PORTUGAL</v>
      </c>
      <c r="T117" s="122" t="str">
        <f t="shared" si="33"/>
        <v>KOREA</v>
      </c>
      <c r="U117" s="122" t="str">
        <f t="shared" si="34"/>
        <v>GREECE</v>
      </c>
      <c r="V117" s="122" t="str">
        <f t="shared" si="35"/>
        <v>CZECH REP.</v>
      </c>
      <c r="W117" s="122" t="str">
        <f t="shared" si="36"/>
        <v>ARGENTINA</v>
      </c>
      <c r="X117" s="122" t="str">
        <f t="shared" si="37"/>
        <v>SPAIN</v>
      </c>
      <c r="Y117" s="122" t="str">
        <f t="shared" si="38"/>
        <v>KOREA</v>
      </c>
      <c r="Z117" s="122" t="str">
        <f t="shared" si="39"/>
        <v>GREECE</v>
      </c>
      <c r="AA117" s="122" t="str">
        <f t="shared" si="40"/>
        <v>INDONESIA</v>
      </c>
      <c r="AB117" s="122" t="str">
        <f t="shared" si="41"/>
        <v>INDIA</v>
      </c>
      <c r="AC117" s="122" t="str">
        <f t="shared" si="42"/>
        <v>PHILIPPINES</v>
      </c>
      <c r="AD117" s="122" t="str">
        <f t="shared" si="43"/>
        <v>CZECH REP.</v>
      </c>
      <c r="AE117" s="122" t="str">
        <f t="shared" si="44"/>
        <v>KOREA</v>
      </c>
      <c r="AF117" s="122" t="str">
        <f t="shared" si="45"/>
        <v>CZECH REP.</v>
      </c>
      <c r="AG117" s="122" t="str">
        <f t="shared" si="46"/>
        <v>ROMANIA</v>
      </c>
      <c r="AH117" s="122" t="str">
        <f t="shared" si="47"/>
        <v>PHILIPPINES</v>
      </c>
      <c r="AI117" s="122" t="str">
        <f t="shared" si="48"/>
        <v>NETHERLANDS</v>
      </c>
      <c r="AJ117" s="122" t="str">
        <f t="shared" si="49"/>
        <v>ARGENTINA</v>
      </c>
      <c r="AK117" s="122" t="str">
        <f t="shared" si="50"/>
        <v>PHILIPPINES</v>
      </c>
      <c r="AL117" s="122" t="str">
        <f t="shared" si="51"/>
        <v>BRAZIL</v>
      </c>
      <c r="AM117" s="122" t="str">
        <f t="shared" si="52"/>
        <v>SLOVAKIA</v>
      </c>
      <c r="AN117" s="122" t="str">
        <f t="shared" si="53"/>
        <v>KOREA</v>
      </c>
      <c r="AO117" s="122" t="str">
        <f t="shared" si="54"/>
        <v>PHILIPPINES</v>
      </c>
      <c r="AP117" s="122" t="str">
        <f t="shared" si="55"/>
        <v>GREECE</v>
      </c>
      <c r="AQ117" s="122" t="str">
        <f t="shared" si="56"/>
        <v>ROMANIA</v>
      </c>
      <c r="AR117" s="122" t="str">
        <f t="shared" si="57"/>
        <v>TOTAL CIS</v>
      </c>
      <c r="AS117" s="122" t="str">
        <f t="shared" si="58"/>
        <v>TOTAL CIS</v>
      </c>
      <c r="AT117" s="122" t="str">
        <f t="shared" si="23"/>
        <v>BRAZIL</v>
      </c>
    </row>
    <row r="118" spans="1:46">
      <c r="A118" s="122" t="e">
        <f t="shared" si="24"/>
        <v>#NUM!</v>
      </c>
      <c r="B118" s="122" t="e">
        <f t="shared" si="25"/>
        <v>#NUM!</v>
      </c>
      <c r="C118" s="122" t="e">
        <f t="shared" si="26"/>
        <v>#NUM!</v>
      </c>
      <c r="D118" s="122" t="e">
        <f t="shared" si="27"/>
        <v>#NUM!</v>
      </c>
      <c r="E118" s="122" t="str">
        <f t="shared" si="13"/>
        <v>PHILIPPINES</v>
      </c>
      <c r="F118" s="122" t="str">
        <f t="shared" si="14"/>
        <v>INDONESIA</v>
      </c>
      <c r="G118" s="122" t="str">
        <f t="shared" si="15"/>
        <v>PHILIPPINES</v>
      </c>
      <c r="H118" s="122" t="str">
        <f t="shared" si="16"/>
        <v>CZECH REP.</v>
      </c>
      <c r="I118" s="122" t="str">
        <f t="shared" si="17"/>
        <v>PHILIPPINES</v>
      </c>
      <c r="J118" s="122" t="str">
        <f t="shared" si="18"/>
        <v>BRAZIL</v>
      </c>
      <c r="K118" s="122" t="str">
        <f t="shared" si="19"/>
        <v>CHINA</v>
      </c>
      <c r="L118" s="122" t="str">
        <f t="shared" si="20"/>
        <v>GREECE</v>
      </c>
      <c r="M118" s="122" t="str">
        <f t="shared" si="21"/>
        <v>ROMANIA</v>
      </c>
      <c r="N118" s="122" t="str">
        <f t="shared" si="22"/>
        <v>GREECE</v>
      </c>
      <c r="O118" s="122" t="str">
        <f t="shared" si="28"/>
        <v>CHINA</v>
      </c>
      <c r="P118" s="122" t="str">
        <f t="shared" si="29"/>
        <v>BRAZIL</v>
      </c>
      <c r="Q118" s="122" t="str">
        <f t="shared" si="30"/>
        <v>KOREA</v>
      </c>
      <c r="R118" s="122" t="str">
        <f t="shared" si="31"/>
        <v>GREECE</v>
      </c>
      <c r="S118" s="122" t="str">
        <f t="shared" si="32"/>
        <v>BELARUS</v>
      </c>
      <c r="T118" s="122" t="str">
        <f t="shared" si="33"/>
        <v>INDIA</v>
      </c>
      <c r="U118" s="122" t="str">
        <f t="shared" si="34"/>
        <v>ROMANIA</v>
      </c>
      <c r="V118" s="122" t="str">
        <f t="shared" si="35"/>
        <v>GREECE</v>
      </c>
      <c r="W118" s="122" t="str">
        <f t="shared" si="36"/>
        <v>BELARUS</v>
      </c>
      <c r="X118" s="122" t="str">
        <f t="shared" si="37"/>
        <v>BRAZIL</v>
      </c>
      <c r="Y118" s="122" t="str">
        <f t="shared" si="38"/>
        <v>ROMANIA</v>
      </c>
      <c r="Z118" s="122" t="str">
        <f t="shared" si="39"/>
        <v>CHINA</v>
      </c>
      <c r="AA118" s="122" t="str">
        <f t="shared" si="40"/>
        <v>ROMANIA</v>
      </c>
      <c r="AB118" s="122" t="str">
        <f t="shared" si="41"/>
        <v>GREECE</v>
      </c>
      <c r="AC118" s="122" t="str">
        <f t="shared" si="42"/>
        <v>ROMANIA</v>
      </c>
      <c r="AD118" s="122" t="str">
        <f t="shared" si="43"/>
        <v>BRAZIL</v>
      </c>
      <c r="AE118" s="122" t="str">
        <f t="shared" si="44"/>
        <v>ROMANIA</v>
      </c>
      <c r="AF118" s="122" t="str">
        <f t="shared" si="45"/>
        <v>BRAZIL</v>
      </c>
      <c r="AG118" s="122" t="str">
        <f t="shared" si="46"/>
        <v>PHILIPPINES</v>
      </c>
      <c r="AH118" s="122" t="str">
        <f t="shared" si="47"/>
        <v>BRAZIL</v>
      </c>
      <c r="AI118" s="122" t="str">
        <f t="shared" si="48"/>
        <v>AUSTRIA</v>
      </c>
      <c r="AJ118" s="122" t="str">
        <f t="shared" si="49"/>
        <v>SPAIN</v>
      </c>
      <c r="AK118" s="122" t="str">
        <f t="shared" si="50"/>
        <v>INDONESIA</v>
      </c>
      <c r="AL118" s="122" t="str">
        <f t="shared" si="51"/>
        <v>INDONESIA</v>
      </c>
      <c r="AM118" s="122" t="str">
        <f t="shared" si="52"/>
        <v>PHILIPPINES</v>
      </c>
      <c r="AN118" s="122" t="str">
        <f t="shared" si="53"/>
        <v>INDONESIA</v>
      </c>
      <c r="AO118" s="122" t="str">
        <f t="shared" si="54"/>
        <v xml:space="preserve">      FINLAND</v>
      </c>
      <c r="AP118" s="122" t="str">
        <f t="shared" si="55"/>
        <v>BRAZIL</v>
      </c>
      <c r="AQ118" s="122" t="str">
        <f t="shared" si="56"/>
        <v>KOREA</v>
      </c>
      <c r="AR118" s="122" t="str">
        <f t="shared" si="57"/>
        <v>UNITED STATES</v>
      </c>
      <c r="AS118" s="122" t="str">
        <f t="shared" si="58"/>
        <v>UNITED STATES</v>
      </c>
      <c r="AT118" s="122" t="str">
        <f t="shared" si="23"/>
        <v>POLAND</v>
      </c>
    </row>
    <row r="119" spans="1:46">
      <c r="A119" s="122" t="e">
        <f t="shared" si="24"/>
        <v>#NUM!</v>
      </c>
      <c r="B119" s="122" t="e">
        <f t="shared" si="25"/>
        <v>#NUM!</v>
      </c>
      <c r="C119" s="122" t="e">
        <f t="shared" si="26"/>
        <v>#NUM!</v>
      </c>
      <c r="D119" s="122" t="e">
        <f t="shared" si="27"/>
        <v>#NUM!</v>
      </c>
      <c r="E119" s="122" t="str">
        <f t="shared" si="13"/>
        <v>LATVIA</v>
      </c>
      <c r="F119" s="122" t="str">
        <f t="shared" si="14"/>
        <v>SLOVAKIA</v>
      </c>
      <c r="G119" s="122" t="str">
        <f t="shared" si="15"/>
        <v>LATVIA</v>
      </c>
      <c r="H119" s="122" t="str">
        <f t="shared" si="16"/>
        <v>ROMANIA</v>
      </c>
      <c r="I119" s="122" t="str">
        <f t="shared" si="17"/>
        <v>LITHUANIA</v>
      </c>
      <c r="J119" s="122" t="str">
        <f t="shared" si="18"/>
        <v>INDONESIA</v>
      </c>
      <c r="K119" s="122" t="str">
        <f t="shared" si="19"/>
        <v>GREECE</v>
      </c>
      <c r="L119" s="122" t="str">
        <f t="shared" si="20"/>
        <v>POLAND</v>
      </c>
      <c r="M119" s="122" t="str">
        <f t="shared" si="21"/>
        <v>PHILIPPINES</v>
      </c>
      <c r="N119" s="122" t="str">
        <f t="shared" si="22"/>
        <v>BRAZIL</v>
      </c>
      <c r="O119" s="122" t="str">
        <f t="shared" si="28"/>
        <v>JAPAN</v>
      </c>
      <c r="P119" s="122" t="str">
        <f t="shared" si="29"/>
        <v>GREECE</v>
      </c>
      <c r="Q119" s="122" t="str">
        <f t="shared" si="30"/>
        <v>ROMANIA</v>
      </c>
      <c r="R119" s="122" t="str">
        <f t="shared" si="31"/>
        <v>CHINA</v>
      </c>
      <c r="S119" s="122" t="str">
        <f t="shared" si="32"/>
        <v>KOREA</v>
      </c>
      <c r="T119" s="122" t="str">
        <f t="shared" si="33"/>
        <v>POLAND</v>
      </c>
      <c r="U119" s="122" t="str">
        <f t="shared" si="34"/>
        <v>KOREA</v>
      </c>
      <c r="V119" s="122" t="str">
        <f t="shared" si="35"/>
        <v>CHINA</v>
      </c>
      <c r="W119" s="122" t="str">
        <f t="shared" si="36"/>
        <v>POLAND</v>
      </c>
      <c r="X119" s="122" t="str">
        <f t="shared" si="37"/>
        <v>SOUTH AFRICA</v>
      </c>
      <c r="Y119" s="122" t="str">
        <f t="shared" si="38"/>
        <v>INDONESIA</v>
      </c>
      <c r="Z119" s="122" t="str">
        <f t="shared" si="39"/>
        <v>BRAZIL</v>
      </c>
      <c r="AA119" s="122" t="str">
        <f t="shared" si="40"/>
        <v>BELARUS</v>
      </c>
      <c r="AB119" s="122" t="str">
        <f t="shared" si="41"/>
        <v>INDONESIA</v>
      </c>
      <c r="AC119" s="122" t="str">
        <f t="shared" si="42"/>
        <v>INDONESIA</v>
      </c>
      <c r="AD119" s="122" t="str">
        <f t="shared" si="43"/>
        <v>INDONESIA</v>
      </c>
      <c r="AE119" s="122" t="str">
        <f t="shared" si="44"/>
        <v>GREECE</v>
      </c>
      <c r="AF119" s="122" t="str">
        <f t="shared" si="45"/>
        <v>KOREA</v>
      </c>
      <c r="AG119" s="122" t="str">
        <f t="shared" si="46"/>
        <v>INDONESIA</v>
      </c>
      <c r="AH119" s="122" t="str">
        <f t="shared" si="47"/>
        <v>INDONESIA</v>
      </c>
      <c r="AI119" s="122" t="str">
        <f t="shared" si="48"/>
        <v>INDONESIA</v>
      </c>
      <c r="AJ119" s="122" t="str">
        <f t="shared" si="49"/>
        <v>PHILIPPINES</v>
      </c>
      <c r="AK119" s="122" t="str">
        <f t="shared" si="50"/>
        <v>LITHUANIA</v>
      </c>
      <c r="AL119" s="122" t="str">
        <f t="shared" si="51"/>
        <v>CHINA</v>
      </c>
      <c r="AM119" s="122" t="str">
        <f t="shared" si="52"/>
        <v>INDONESIA</v>
      </c>
      <c r="AN119" s="122" t="str">
        <f t="shared" si="53"/>
        <v>CHINA</v>
      </c>
      <c r="AO119" s="122" t="str">
        <f t="shared" si="54"/>
        <v>CHINA</v>
      </c>
      <c r="AP119" s="122" t="str">
        <f t="shared" si="55"/>
        <v>INDONESIA</v>
      </c>
      <c r="AQ119" s="122" t="str">
        <f t="shared" si="56"/>
        <v>PHILIPPINES</v>
      </c>
      <c r="AR119" s="122" t="str">
        <f t="shared" si="57"/>
        <v>AMERICA</v>
      </c>
      <c r="AS119" s="122" t="str">
        <f t="shared" si="58"/>
        <v>AMERICA</v>
      </c>
      <c r="AT119" s="122" t="str">
        <f t="shared" si="23"/>
        <v>INDONESIA</v>
      </c>
    </row>
    <row r="120" spans="1:46">
      <c r="A120" s="122" t="e">
        <f t="shared" si="24"/>
        <v>#NUM!</v>
      </c>
      <c r="B120" s="122" t="e">
        <f t="shared" si="25"/>
        <v>#NUM!</v>
      </c>
      <c r="C120" s="122" t="e">
        <f t="shared" si="26"/>
        <v>#NUM!</v>
      </c>
      <c r="D120" s="122" t="e">
        <f t="shared" si="27"/>
        <v>#NUM!</v>
      </c>
      <c r="E120" s="122" t="str">
        <f t="shared" si="13"/>
        <v>CHINA</v>
      </c>
      <c r="F120" s="122" t="str">
        <f t="shared" si="14"/>
        <v>POLAND</v>
      </c>
      <c r="G120" s="122" t="str">
        <f t="shared" si="15"/>
        <v>POLAND</v>
      </c>
      <c r="H120" s="122" t="str">
        <f t="shared" si="16"/>
        <v>POLAND</v>
      </c>
      <c r="I120" s="122" t="str">
        <f t="shared" si="17"/>
        <v>CHINA</v>
      </c>
      <c r="J120" s="122" t="str">
        <f t="shared" si="18"/>
        <v>SLOVAKIA</v>
      </c>
      <c r="K120" s="122" t="str">
        <f t="shared" si="19"/>
        <v>KOREA</v>
      </c>
      <c r="L120" s="122" t="str">
        <f t="shared" si="20"/>
        <v>AUSTRALIA</v>
      </c>
      <c r="M120" s="122" t="str">
        <f t="shared" si="21"/>
        <v>CHINA</v>
      </c>
      <c r="N120" s="122" t="str">
        <f t="shared" si="22"/>
        <v>INDONESIA</v>
      </c>
      <c r="O120" s="122" t="str">
        <f t="shared" si="28"/>
        <v>GREECE</v>
      </c>
      <c r="P120" s="122" t="str">
        <f t="shared" si="29"/>
        <v>POLAND</v>
      </c>
      <c r="Q120" s="122" t="str">
        <f t="shared" si="30"/>
        <v>CHINA</v>
      </c>
      <c r="R120" s="122" t="str">
        <f t="shared" si="31"/>
        <v>BRAZIL</v>
      </c>
      <c r="S120" s="122" t="str">
        <f t="shared" si="32"/>
        <v>CHINA</v>
      </c>
      <c r="T120" s="122" t="str">
        <f t="shared" si="33"/>
        <v>PORTUGAL</v>
      </c>
      <c r="U120" s="122" t="str">
        <f t="shared" si="34"/>
        <v>CHINA</v>
      </c>
      <c r="V120" s="122" t="str">
        <f t="shared" si="35"/>
        <v>BRAZIL</v>
      </c>
      <c r="W120" s="122" t="str">
        <f t="shared" si="36"/>
        <v>CHINA</v>
      </c>
      <c r="X120" s="122" t="str">
        <f t="shared" si="37"/>
        <v>POLAND</v>
      </c>
      <c r="Y120" s="122" t="str">
        <f t="shared" si="38"/>
        <v>CHINA</v>
      </c>
      <c r="Z120" s="122" t="str">
        <f t="shared" si="39"/>
        <v>INDONESIA</v>
      </c>
      <c r="AA120" s="122" t="str">
        <f t="shared" si="40"/>
        <v>CHINA</v>
      </c>
      <c r="AB120" s="122" t="str">
        <f t="shared" si="41"/>
        <v>BRAZIL</v>
      </c>
      <c r="AC120" s="122" t="str">
        <f t="shared" si="42"/>
        <v>CHINA</v>
      </c>
      <c r="AD120" s="122" t="str">
        <f t="shared" si="43"/>
        <v>CHINA</v>
      </c>
      <c r="AE120" s="122" t="str">
        <f t="shared" si="44"/>
        <v>CHINA</v>
      </c>
      <c r="AF120" s="122" t="str">
        <f t="shared" si="45"/>
        <v>GREECE</v>
      </c>
      <c r="AG120" s="122" t="str">
        <f t="shared" si="46"/>
        <v>CHINA</v>
      </c>
      <c r="AH120" s="122" t="str">
        <f t="shared" si="47"/>
        <v>CHINA</v>
      </c>
      <c r="AI120" s="122" t="str">
        <f t="shared" si="48"/>
        <v>CHINA</v>
      </c>
      <c r="AJ120" s="122" t="str">
        <f t="shared" si="49"/>
        <v>MEXICO</v>
      </c>
      <c r="AK120" s="122" t="str">
        <f t="shared" si="50"/>
        <v>CHINA</v>
      </c>
      <c r="AL120" s="122" t="str">
        <f t="shared" si="51"/>
        <v>SLOVAKIA</v>
      </c>
      <c r="AM120" s="122" t="str">
        <f t="shared" si="52"/>
        <v>CHINA</v>
      </c>
      <c r="AN120" s="122" t="str">
        <f t="shared" si="53"/>
        <v>SLOVAKIA</v>
      </c>
      <c r="AO120" s="122" t="str">
        <f t="shared" si="54"/>
        <v>LITHUANIA</v>
      </c>
      <c r="AP120" s="122" t="str">
        <f t="shared" si="55"/>
        <v>CHINA</v>
      </c>
      <c r="AQ120" s="122" t="str">
        <f t="shared" si="56"/>
        <v>LITHUANIA</v>
      </c>
      <c r="AR120" s="122" t="str">
        <f t="shared" si="57"/>
        <v>EUROPE</v>
      </c>
      <c r="AS120" s="122" t="str">
        <f t="shared" si="58"/>
        <v>EUROPE</v>
      </c>
      <c r="AT120" s="122" t="str">
        <f t="shared" si="23"/>
        <v>CHINA</v>
      </c>
    </row>
    <row r="121" spans="1:46">
      <c r="A121" t="s">
        <v>127</v>
      </c>
      <c r="B121" t="s">
        <v>127</v>
      </c>
      <c r="C121" t="s">
        <v>127</v>
      </c>
      <c r="D121" t="s">
        <v>127</v>
      </c>
      <c r="E121" t="s">
        <v>127</v>
      </c>
      <c r="F121" t="s">
        <v>127</v>
      </c>
      <c r="G121" t="s">
        <v>127</v>
      </c>
      <c r="H121" t="s">
        <v>127</v>
      </c>
      <c r="I121" t="s">
        <v>127</v>
      </c>
      <c r="J121" t="s">
        <v>127</v>
      </c>
      <c r="K121" t="s">
        <v>127</v>
      </c>
      <c r="L121" t="s">
        <v>127</v>
      </c>
      <c r="M121" t="s">
        <v>127</v>
      </c>
      <c r="N121" t="s">
        <v>127</v>
      </c>
      <c r="O121" t="s">
        <v>127</v>
      </c>
      <c r="P121" t="s">
        <v>127</v>
      </c>
      <c r="Q121" t="s">
        <v>127</v>
      </c>
      <c r="R121" t="s">
        <v>127</v>
      </c>
      <c r="S121" t="s">
        <v>127</v>
      </c>
      <c r="T121" t="s">
        <v>127</v>
      </c>
      <c r="AT121" t="s">
        <v>127</v>
      </c>
    </row>
    <row r="122" spans="1:46">
      <c r="A122" t="s">
        <v>127</v>
      </c>
      <c r="B122" t="s">
        <v>127</v>
      </c>
      <c r="C122" t="s">
        <v>127</v>
      </c>
      <c r="D122" t="s">
        <v>127</v>
      </c>
      <c r="E122" t="s">
        <v>127</v>
      </c>
      <c r="F122" t="s">
        <v>127</v>
      </c>
      <c r="G122" t="s">
        <v>127</v>
      </c>
      <c r="H122" t="s">
        <v>127</v>
      </c>
      <c r="I122" t="s">
        <v>127</v>
      </c>
      <c r="J122" t="s">
        <v>127</v>
      </c>
      <c r="K122" t="s">
        <v>127</v>
      </c>
      <c r="L122" t="s">
        <v>127</v>
      </c>
      <c r="M122" t="s">
        <v>127</v>
      </c>
      <c r="N122" t="s">
        <v>127</v>
      </c>
      <c r="O122" t="s">
        <v>127</v>
      </c>
      <c r="P122" t="s">
        <v>127</v>
      </c>
      <c r="Q122" t="s">
        <v>127</v>
      </c>
      <c r="R122" t="s">
        <v>127</v>
      </c>
      <c r="S122" t="s">
        <v>127</v>
      </c>
      <c r="T122" t="s">
        <v>127</v>
      </c>
      <c r="AT122" t="s">
        <v>127</v>
      </c>
    </row>
    <row r="123" spans="1:46">
      <c r="A123" t="s">
        <v>127</v>
      </c>
      <c r="B123" t="s">
        <v>127</v>
      </c>
      <c r="C123" t="s">
        <v>127</v>
      </c>
      <c r="D123" t="s">
        <v>127</v>
      </c>
      <c r="E123" t="s">
        <v>127</v>
      </c>
      <c r="F123" t="s">
        <v>127</v>
      </c>
      <c r="G123" t="s">
        <v>127</v>
      </c>
      <c r="H123" t="s">
        <v>127</v>
      </c>
      <c r="I123" t="s">
        <v>127</v>
      </c>
      <c r="J123" t="s">
        <v>127</v>
      </c>
      <c r="K123" t="s">
        <v>127</v>
      </c>
      <c r="L123" t="s">
        <v>127</v>
      </c>
      <c r="M123" t="s">
        <v>127</v>
      </c>
      <c r="N123" t="s">
        <v>127</v>
      </c>
      <c r="O123" t="s">
        <v>127</v>
      </c>
      <c r="P123" t="s">
        <v>127</v>
      </c>
      <c r="Q123" t="s">
        <v>127</v>
      </c>
      <c r="R123" t="s">
        <v>127</v>
      </c>
      <c r="S123" t="s">
        <v>127</v>
      </c>
      <c r="T123" t="s">
        <v>127</v>
      </c>
    </row>
    <row r="124" spans="1:46">
      <c r="A124" t="s">
        <v>127</v>
      </c>
      <c r="B124" t="s">
        <v>127</v>
      </c>
      <c r="C124" t="s">
        <v>127</v>
      </c>
      <c r="D124" t="s">
        <v>127</v>
      </c>
      <c r="E124" t="s">
        <v>127</v>
      </c>
      <c r="F124" t="s">
        <v>127</v>
      </c>
      <c r="G124" t="s">
        <v>127</v>
      </c>
      <c r="H124" t="s">
        <v>127</v>
      </c>
      <c r="I124" t="s">
        <v>127</v>
      </c>
      <c r="J124" t="s">
        <v>127</v>
      </c>
      <c r="K124" t="s">
        <v>127</v>
      </c>
      <c r="L124" t="s">
        <v>127</v>
      </c>
      <c r="M124" t="s">
        <v>127</v>
      </c>
      <c r="N124" t="s">
        <v>127</v>
      </c>
      <c r="O124" t="s">
        <v>127</v>
      </c>
      <c r="P124" t="s">
        <v>127</v>
      </c>
      <c r="Q124" t="s">
        <v>127</v>
      </c>
      <c r="R124" t="s">
        <v>127</v>
      </c>
      <c r="S124" t="s">
        <v>127</v>
      </c>
      <c r="T124" t="s">
        <v>127</v>
      </c>
    </row>
    <row r="125" spans="1:46">
      <c r="A125" t="s">
        <v>127</v>
      </c>
      <c r="B125" t="s">
        <v>127</v>
      </c>
      <c r="C125" t="s">
        <v>127</v>
      </c>
      <c r="D125" t="s">
        <v>127</v>
      </c>
      <c r="E125" t="s">
        <v>127</v>
      </c>
      <c r="F125" t="s">
        <v>127</v>
      </c>
      <c r="G125" t="s">
        <v>127</v>
      </c>
      <c r="H125" t="s">
        <v>127</v>
      </c>
      <c r="I125" t="s">
        <v>127</v>
      </c>
      <c r="J125" t="s">
        <v>127</v>
      </c>
      <c r="K125" t="s">
        <v>127</v>
      </c>
      <c r="L125" t="s">
        <v>127</v>
      </c>
      <c r="M125" t="s">
        <v>127</v>
      </c>
      <c r="N125" t="s">
        <v>127</v>
      </c>
      <c r="O125" t="s">
        <v>127</v>
      </c>
      <c r="P125" t="s">
        <v>127</v>
      </c>
      <c r="Q125" t="s">
        <v>127</v>
      </c>
      <c r="R125" t="s">
        <v>127</v>
      </c>
      <c r="S125" t="s">
        <v>127</v>
      </c>
      <c r="T125" t="s">
        <v>127</v>
      </c>
    </row>
    <row r="126" spans="1:46">
      <c r="A126" t="s">
        <v>127</v>
      </c>
      <c r="B126" t="s">
        <v>127</v>
      </c>
      <c r="C126" t="s">
        <v>127</v>
      </c>
      <c r="D126" t="s">
        <v>127</v>
      </c>
      <c r="E126" t="s">
        <v>127</v>
      </c>
      <c r="F126" t="s">
        <v>127</v>
      </c>
      <c r="G126" t="s">
        <v>127</v>
      </c>
      <c r="H126" t="s">
        <v>127</v>
      </c>
      <c r="I126" t="s">
        <v>127</v>
      </c>
      <c r="J126" t="s">
        <v>127</v>
      </c>
      <c r="K126" t="s">
        <v>127</v>
      </c>
      <c r="L126" t="s">
        <v>127</v>
      </c>
      <c r="M126" t="s">
        <v>127</v>
      </c>
      <c r="N126" t="s">
        <v>127</v>
      </c>
      <c r="O126" t="s">
        <v>127</v>
      </c>
      <c r="P126" t="s">
        <v>127</v>
      </c>
      <c r="Q126" t="s">
        <v>127</v>
      </c>
      <c r="R126" t="s">
        <v>127</v>
      </c>
      <c r="S126" t="s">
        <v>127</v>
      </c>
      <c r="T126" t="s">
        <v>127</v>
      </c>
    </row>
    <row r="127" spans="1:46">
      <c r="A127" t="s">
        <v>127</v>
      </c>
      <c r="B127" t="s">
        <v>127</v>
      </c>
      <c r="C127" t="s">
        <v>127</v>
      </c>
      <c r="D127" t="s">
        <v>127</v>
      </c>
      <c r="E127" t="s">
        <v>127</v>
      </c>
      <c r="F127" t="s">
        <v>127</v>
      </c>
      <c r="G127" t="s">
        <v>127</v>
      </c>
      <c r="H127" t="s">
        <v>127</v>
      </c>
      <c r="I127" t="s">
        <v>127</v>
      </c>
      <c r="J127" t="s">
        <v>127</v>
      </c>
      <c r="K127" t="s">
        <v>127</v>
      </c>
      <c r="L127" t="s">
        <v>127</v>
      </c>
      <c r="M127" t="s">
        <v>127</v>
      </c>
      <c r="N127" t="s">
        <v>127</v>
      </c>
      <c r="O127" t="s">
        <v>127</v>
      </c>
      <c r="P127" t="s">
        <v>127</v>
      </c>
      <c r="Q127" t="s">
        <v>127</v>
      </c>
      <c r="R127" t="s">
        <v>127</v>
      </c>
      <c r="S127" t="s">
        <v>127</v>
      </c>
      <c r="T127" t="s">
        <v>127</v>
      </c>
    </row>
    <row r="128" spans="1:46">
      <c r="A128" t="s">
        <v>127</v>
      </c>
      <c r="B128" t="s">
        <v>127</v>
      </c>
      <c r="C128" t="s">
        <v>127</v>
      </c>
      <c r="D128" t="s">
        <v>127</v>
      </c>
      <c r="E128" t="s">
        <v>127</v>
      </c>
      <c r="F128" t="s">
        <v>127</v>
      </c>
      <c r="G128" t="s">
        <v>127</v>
      </c>
      <c r="H128" t="s">
        <v>127</v>
      </c>
      <c r="I128" t="s">
        <v>127</v>
      </c>
      <c r="J128" t="s">
        <v>127</v>
      </c>
      <c r="K128" t="s">
        <v>127</v>
      </c>
      <c r="L128" t="s">
        <v>127</v>
      </c>
      <c r="M128" t="s">
        <v>127</v>
      </c>
      <c r="N128" t="s">
        <v>127</v>
      </c>
      <c r="O128" t="s">
        <v>127</v>
      </c>
      <c r="P128" t="s">
        <v>127</v>
      </c>
      <c r="Q128" t="s">
        <v>127</v>
      </c>
      <c r="R128" t="s">
        <v>127</v>
      </c>
      <c r="S128" t="s">
        <v>127</v>
      </c>
      <c r="T128" t="s">
        <v>127</v>
      </c>
    </row>
    <row r="129" spans="1:20">
      <c r="A129" t="s">
        <v>127</v>
      </c>
      <c r="B129" t="s">
        <v>127</v>
      </c>
      <c r="C129" t="s">
        <v>127</v>
      </c>
      <c r="D129" t="s">
        <v>127</v>
      </c>
      <c r="E129" t="s">
        <v>127</v>
      </c>
      <c r="F129" t="s">
        <v>127</v>
      </c>
      <c r="G129" t="s">
        <v>127</v>
      </c>
      <c r="H129" t="s">
        <v>127</v>
      </c>
      <c r="I129" t="s">
        <v>127</v>
      </c>
      <c r="J129" t="s">
        <v>127</v>
      </c>
      <c r="K129" t="s">
        <v>127</v>
      </c>
      <c r="L129" t="s">
        <v>127</v>
      </c>
      <c r="M129" t="s">
        <v>127</v>
      </c>
      <c r="N129" t="s">
        <v>127</v>
      </c>
      <c r="O129" t="s">
        <v>127</v>
      </c>
      <c r="P129" t="s">
        <v>127</v>
      </c>
      <c r="Q129" t="s">
        <v>127</v>
      </c>
      <c r="R129" t="s">
        <v>127</v>
      </c>
      <c r="S129" t="s">
        <v>127</v>
      </c>
      <c r="T129" t="s">
        <v>127</v>
      </c>
    </row>
    <row r="130" spans="1:20">
      <c r="A130" t="s">
        <v>127</v>
      </c>
      <c r="B130" t="s">
        <v>127</v>
      </c>
      <c r="C130" t="s">
        <v>127</v>
      </c>
      <c r="D130" t="s">
        <v>127</v>
      </c>
      <c r="E130" t="s">
        <v>127</v>
      </c>
      <c r="F130" t="s">
        <v>127</v>
      </c>
      <c r="G130" t="s">
        <v>127</v>
      </c>
      <c r="H130" t="s">
        <v>127</v>
      </c>
      <c r="I130" t="s">
        <v>127</v>
      </c>
      <c r="J130" t="s">
        <v>127</v>
      </c>
      <c r="K130" t="s">
        <v>127</v>
      </c>
      <c r="L130" t="s">
        <v>127</v>
      </c>
      <c r="M130" t="s">
        <v>127</v>
      </c>
      <c r="N130" t="s">
        <v>127</v>
      </c>
      <c r="O130" t="s">
        <v>127</v>
      </c>
      <c r="P130" t="s">
        <v>127</v>
      </c>
      <c r="Q130" t="s">
        <v>127</v>
      </c>
      <c r="R130" t="s">
        <v>127</v>
      </c>
      <c r="S130" t="s">
        <v>127</v>
      </c>
      <c r="T130" t="s">
        <v>127</v>
      </c>
    </row>
    <row r="131" spans="1:20">
      <c r="A131" t="s">
        <v>127</v>
      </c>
      <c r="B131" t="s">
        <v>127</v>
      </c>
      <c r="C131" t="s">
        <v>127</v>
      </c>
      <c r="D131" t="s">
        <v>127</v>
      </c>
      <c r="E131" t="s">
        <v>127</v>
      </c>
      <c r="F131" t="s">
        <v>127</v>
      </c>
      <c r="G131" t="s">
        <v>127</v>
      </c>
      <c r="H131" t="s">
        <v>127</v>
      </c>
      <c r="I131" t="s">
        <v>127</v>
      </c>
      <c r="J131" t="s">
        <v>127</v>
      </c>
      <c r="K131" t="s">
        <v>127</v>
      </c>
      <c r="L131" t="s">
        <v>127</v>
      </c>
      <c r="M131" t="s">
        <v>127</v>
      </c>
      <c r="N131" t="s">
        <v>127</v>
      </c>
      <c r="O131" t="s">
        <v>127</v>
      </c>
      <c r="P131" t="s">
        <v>127</v>
      </c>
      <c r="Q131" t="s">
        <v>127</v>
      </c>
      <c r="R131" t="s">
        <v>127</v>
      </c>
      <c r="S131" t="s">
        <v>127</v>
      </c>
      <c r="T131" t="s">
        <v>127</v>
      </c>
    </row>
    <row r="132" spans="1:20">
      <c r="A132" t="s">
        <v>127</v>
      </c>
      <c r="B132" t="s">
        <v>127</v>
      </c>
      <c r="C132" t="s">
        <v>127</v>
      </c>
      <c r="D132" t="s">
        <v>127</v>
      </c>
      <c r="E132" t="s">
        <v>127</v>
      </c>
      <c r="F132" t="s">
        <v>127</v>
      </c>
      <c r="G132" t="s">
        <v>127</v>
      </c>
      <c r="H132" t="s">
        <v>127</v>
      </c>
      <c r="I132" t="s">
        <v>127</v>
      </c>
      <c r="J132" t="s">
        <v>127</v>
      </c>
      <c r="K132" t="s">
        <v>127</v>
      </c>
      <c r="L132" t="s">
        <v>127</v>
      </c>
      <c r="M132" t="s">
        <v>127</v>
      </c>
      <c r="N132" t="s">
        <v>127</v>
      </c>
      <c r="O132" t="s">
        <v>127</v>
      </c>
      <c r="P132" t="s">
        <v>127</v>
      </c>
      <c r="Q132" t="s">
        <v>127</v>
      </c>
      <c r="R132" t="s">
        <v>127</v>
      </c>
      <c r="S132" t="s">
        <v>127</v>
      </c>
      <c r="T132" t="s">
        <v>127</v>
      </c>
    </row>
    <row r="133" spans="1:20">
      <c r="A133" t="s">
        <v>127</v>
      </c>
      <c r="B133" t="s">
        <v>127</v>
      </c>
      <c r="C133" t="s">
        <v>127</v>
      </c>
      <c r="D133" t="s">
        <v>127</v>
      </c>
      <c r="E133" t="s">
        <v>127</v>
      </c>
      <c r="F133" t="s">
        <v>127</v>
      </c>
      <c r="G133" t="s">
        <v>127</v>
      </c>
      <c r="H133" t="s">
        <v>127</v>
      </c>
      <c r="I133" t="s">
        <v>127</v>
      </c>
      <c r="J133" t="s">
        <v>127</v>
      </c>
      <c r="K133" t="s">
        <v>127</v>
      </c>
      <c r="L133" t="s">
        <v>127</v>
      </c>
      <c r="M133" t="s">
        <v>127</v>
      </c>
      <c r="N133" t="s">
        <v>127</v>
      </c>
      <c r="O133" t="s">
        <v>127</v>
      </c>
      <c r="P133" t="s">
        <v>127</v>
      </c>
      <c r="Q133" t="s">
        <v>127</v>
      </c>
      <c r="R133" t="s">
        <v>127</v>
      </c>
      <c r="S133" t="s">
        <v>127</v>
      </c>
      <c r="T133" t="s">
        <v>127</v>
      </c>
    </row>
    <row r="134" spans="1:20">
      <c r="A134" t="s">
        <v>127</v>
      </c>
      <c r="B134" t="s">
        <v>127</v>
      </c>
      <c r="C134" t="s">
        <v>127</v>
      </c>
      <c r="D134" t="s">
        <v>127</v>
      </c>
      <c r="E134" t="s">
        <v>127</v>
      </c>
      <c r="F134" t="s">
        <v>127</v>
      </c>
      <c r="G134" t="s">
        <v>127</v>
      </c>
      <c r="H134" t="s">
        <v>127</v>
      </c>
      <c r="I134" t="s">
        <v>127</v>
      </c>
      <c r="J134" t="s">
        <v>127</v>
      </c>
      <c r="K134" t="s">
        <v>127</v>
      </c>
      <c r="L134" t="s">
        <v>127</v>
      </c>
      <c r="M134" t="s">
        <v>127</v>
      </c>
      <c r="N134" t="s">
        <v>127</v>
      </c>
      <c r="O134" t="s">
        <v>127</v>
      </c>
      <c r="P134" t="s">
        <v>127</v>
      </c>
      <c r="Q134" t="s">
        <v>127</v>
      </c>
      <c r="R134" t="s">
        <v>127</v>
      </c>
      <c r="S134" t="s">
        <v>127</v>
      </c>
      <c r="T134" t="s">
        <v>127</v>
      </c>
    </row>
    <row r="135" spans="1:20">
      <c r="A135" t="s">
        <v>127</v>
      </c>
      <c r="B135" t="s">
        <v>127</v>
      </c>
      <c r="C135" t="s">
        <v>127</v>
      </c>
      <c r="D135" t="s">
        <v>127</v>
      </c>
      <c r="E135" t="s">
        <v>127</v>
      </c>
      <c r="F135" t="s">
        <v>127</v>
      </c>
      <c r="G135" t="s">
        <v>127</v>
      </c>
      <c r="H135" t="s">
        <v>127</v>
      </c>
      <c r="I135" t="s">
        <v>127</v>
      </c>
      <c r="J135" t="s">
        <v>127</v>
      </c>
      <c r="K135" t="s">
        <v>127</v>
      </c>
      <c r="L135" t="s">
        <v>127</v>
      </c>
      <c r="M135" t="s">
        <v>127</v>
      </c>
      <c r="N135" t="s">
        <v>127</v>
      </c>
      <c r="O135" t="s">
        <v>127</v>
      </c>
      <c r="P135" t="s">
        <v>127</v>
      </c>
      <c r="Q135" t="s">
        <v>127</v>
      </c>
      <c r="R135" t="s">
        <v>127</v>
      </c>
      <c r="S135" t="s">
        <v>127</v>
      </c>
      <c r="T135" t="s">
        <v>127</v>
      </c>
    </row>
    <row r="136" spans="1:20">
      <c r="A136" t="s">
        <v>127</v>
      </c>
      <c r="B136" t="s">
        <v>127</v>
      </c>
      <c r="C136" t="s">
        <v>127</v>
      </c>
      <c r="D136" t="s">
        <v>127</v>
      </c>
      <c r="E136" t="s">
        <v>127</v>
      </c>
      <c r="F136" t="s">
        <v>127</v>
      </c>
      <c r="G136" t="s">
        <v>127</v>
      </c>
      <c r="H136" t="s">
        <v>127</v>
      </c>
      <c r="I136" t="s">
        <v>127</v>
      </c>
      <c r="J136" t="s">
        <v>127</v>
      </c>
      <c r="K136" t="s">
        <v>127</v>
      </c>
      <c r="L136" t="s">
        <v>127</v>
      </c>
      <c r="M136" t="s">
        <v>127</v>
      </c>
      <c r="N136" t="s">
        <v>127</v>
      </c>
      <c r="O136" t="s">
        <v>127</v>
      </c>
      <c r="P136" t="s">
        <v>127</v>
      </c>
      <c r="Q136" t="s">
        <v>127</v>
      </c>
      <c r="R136" t="s">
        <v>127</v>
      </c>
      <c r="S136" t="s">
        <v>127</v>
      </c>
      <c r="T136" t="s">
        <v>127</v>
      </c>
    </row>
    <row r="137" spans="1:20">
      <c r="A137" t="s">
        <v>127</v>
      </c>
      <c r="B137" t="s">
        <v>127</v>
      </c>
      <c r="C137" t="s">
        <v>127</v>
      </c>
      <c r="D137" t="s">
        <v>127</v>
      </c>
      <c r="E137" t="s">
        <v>127</v>
      </c>
      <c r="F137" t="s">
        <v>127</v>
      </c>
      <c r="G137" t="s">
        <v>127</v>
      </c>
      <c r="H137" t="s">
        <v>127</v>
      </c>
      <c r="I137" t="s">
        <v>127</v>
      </c>
      <c r="J137" t="s">
        <v>127</v>
      </c>
      <c r="K137" t="s">
        <v>127</v>
      </c>
      <c r="L137" t="s">
        <v>127</v>
      </c>
      <c r="M137" t="s">
        <v>127</v>
      </c>
      <c r="N137" t="s">
        <v>127</v>
      </c>
      <c r="O137" t="s">
        <v>127</v>
      </c>
      <c r="P137" t="s">
        <v>127</v>
      </c>
      <c r="Q137" t="s">
        <v>127</v>
      </c>
      <c r="R137" t="s">
        <v>127</v>
      </c>
      <c r="S137" t="s">
        <v>127</v>
      </c>
      <c r="T137" t="s">
        <v>127</v>
      </c>
    </row>
    <row r="138" spans="1:20">
      <c r="A138" t="s">
        <v>127</v>
      </c>
      <c r="B138" t="s">
        <v>127</v>
      </c>
      <c r="C138" t="s">
        <v>127</v>
      </c>
      <c r="D138" t="s">
        <v>127</v>
      </c>
      <c r="E138" t="s">
        <v>127</v>
      </c>
      <c r="F138" t="s">
        <v>127</v>
      </c>
      <c r="G138" t="s">
        <v>127</v>
      </c>
      <c r="H138" t="s">
        <v>127</v>
      </c>
      <c r="I138" t="s">
        <v>127</v>
      </c>
      <c r="J138" t="s">
        <v>127</v>
      </c>
      <c r="K138" t="s">
        <v>127</v>
      </c>
      <c r="L138" t="s">
        <v>127</v>
      </c>
      <c r="M138" t="s">
        <v>127</v>
      </c>
      <c r="N138" t="s">
        <v>127</v>
      </c>
      <c r="O138" t="s">
        <v>127</v>
      </c>
      <c r="P138" t="s">
        <v>127</v>
      </c>
      <c r="Q138" t="s">
        <v>127</v>
      </c>
      <c r="R138" t="s">
        <v>127</v>
      </c>
      <c r="S138" t="s">
        <v>127</v>
      </c>
      <c r="T138" t="s">
        <v>127</v>
      </c>
    </row>
    <row r="139" spans="1:20">
      <c r="A139" t="s">
        <v>127</v>
      </c>
      <c r="B139" t="s">
        <v>127</v>
      </c>
      <c r="C139" t="s">
        <v>127</v>
      </c>
      <c r="D139" t="s">
        <v>127</v>
      </c>
      <c r="E139" t="s">
        <v>127</v>
      </c>
      <c r="F139" t="s">
        <v>127</v>
      </c>
      <c r="G139" t="s">
        <v>127</v>
      </c>
      <c r="H139" t="s">
        <v>127</v>
      </c>
      <c r="I139" t="s">
        <v>127</v>
      </c>
      <c r="J139" t="s">
        <v>127</v>
      </c>
      <c r="K139" t="s">
        <v>127</v>
      </c>
      <c r="L139" t="s">
        <v>127</v>
      </c>
      <c r="M139" t="s">
        <v>127</v>
      </c>
      <c r="N139" t="s">
        <v>127</v>
      </c>
      <c r="O139" t="s">
        <v>127</v>
      </c>
      <c r="P139" t="s">
        <v>127</v>
      </c>
      <c r="Q139" t="s">
        <v>127</v>
      </c>
      <c r="R139" t="s">
        <v>127</v>
      </c>
      <c r="S139" t="s">
        <v>127</v>
      </c>
      <c r="T139" t="s">
        <v>127</v>
      </c>
    </row>
    <row r="140" spans="1:20">
      <c r="A140" t="s">
        <v>127</v>
      </c>
      <c r="B140" t="s">
        <v>127</v>
      </c>
      <c r="C140" t="s">
        <v>127</v>
      </c>
      <c r="D140" t="s">
        <v>127</v>
      </c>
      <c r="E140" t="s">
        <v>127</v>
      </c>
      <c r="F140" t="s">
        <v>127</v>
      </c>
      <c r="G140" t="s">
        <v>127</v>
      </c>
      <c r="H140" t="s">
        <v>127</v>
      </c>
      <c r="I140" t="s">
        <v>127</v>
      </c>
      <c r="J140" t="s">
        <v>127</v>
      </c>
      <c r="K140" t="s">
        <v>127</v>
      </c>
      <c r="L140" t="s">
        <v>127</v>
      </c>
      <c r="M140" t="s">
        <v>127</v>
      </c>
      <c r="N140" t="s">
        <v>127</v>
      </c>
      <c r="O140" t="s">
        <v>127</v>
      </c>
      <c r="P140" t="s">
        <v>127</v>
      </c>
      <c r="Q140" t="s">
        <v>127</v>
      </c>
      <c r="R140" t="s">
        <v>127</v>
      </c>
      <c r="S140" t="s">
        <v>127</v>
      </c>
      <c r="T140" t="s">
        <v>127</v>
      </c>
    </row>
    <row r="141" spans="1:20">
      <c r="A141" t="s">
        <v>127</v>
      </c>
      <c r="B141" t="s">
        <v>127</v>
      </c>
      <c r="C141" t="s">
        <v>127</v>
      </c>
      <c r="D141" t="s">
        <v>127</v>
      </c>
      <c r="E141" t="s">
        <v>127</v>
      </c>
      <c r="F141" t="s">
        <v>127</v>
      </c>
      <c r="G141" t="s">
        <v>127</v>
      </c>
      <c r="H141" t="s">
        <v>127</v>
      </c>
      <c r="I141" t="s">
        <v>127</v>
      </c>
      <c r="J141" t="s">
        <v>127</v>
      </c>
      <c r="K141" t="s">
        <v>127</v>
      </c>
      <c r="L141" t="s">
        <v>127</v>
      </c>
      <c r="M141" t="s">
        <v>127</v>
      </c>
      <c r="N141" t="s">
        <v>127</v>
      </c>
      <c r="O141" t="s">
        <v>127</v>
      </c>
      <c r="P141" t="s">
        <v>127</v>
      </c>
      <c r="Q141" t="s">
        <v>127</v>
      </c>
      <c r="R141" t="s">
        <v>127</v>
      </c>
      <c r="S141" t="s">
        <v>127</v>
      </c>
      <c r="T141" t="s">
        <v>127</v>
      </c>
    </row>
    <row r="142" spans="1:20">
      <c r="A142" t="s">
        <v>127</v>
      </c>
      <c r="B142" t="s">
        <v>127</v>
      </c>
      <c r="C142" t="s">
        <v>127</v>
      </c>
      <c r="D142" t="s">
        <v>127</v>
      </c>
      <c r="E142" t="s">
        <v>127</v>
      </c>
      <c r="F142" t="s">
        <v>127</v>
      </c>
      <c r="G142" t="s">
        <v>127</v>
      </c>
      <c r="H142" t="s">
        <v>127</v>
      </c>
      <c r="I142" t="s">
        <v>127</v>
      </c>
      <c r="J142" t="s">
        <v>127</v>
      </c>
      <c r="K142" t="s">
        <v>127</v>
      </c>
      <c r="L142" t="s">
        <v>127</v>
      </c>
      <c r="M142" t="s">
        <v>127</v>
      </c>
      <c r="N142" t="s">
        <v>127</v>
      </c>
      <c r="O142" t="s">
        <v>127</v>
      </c>
      <c r="P142" t="s">
        <v>127</v>
      </c>
      <c r="Q142" t="s">
        <v>127</v>
      </c>
      <c r="R142" t="s">
        <v>127</v>
      </c>
      <c r="S142" t="s">
        <v>127</v>
      </c>
      <c r="T142" t="s">
        <v>127</v>
      </c>
    </row>
    <row r="143" spans="1:20">
      <c r="A143" t="s">
        <v>127</v>
      </c>
      <c r="B143" t="s">
        <v>127</v>
      </c>
      <c r="C143" t="s">
        <v>127</v>
      </c>
      <c r="D143" t="s">
        <v>127</v>
      </c>
      <c r="E143" t="s">
        <v>127</v>
      </c>
      <c r="F143" t="s">
        <v>127</v>
      </c>
      <c r="G143" t="s">
        <v>127</v>
      </c>
      <c r="H143" t="s">
        <v>127</v>
      </c>
      <c r="I143" t="s">
        <v>127</v>
      </c>
      <c r="J143" t="s">
        <v>127</v>
      </c>
      <c r="K143" t="s">
        <v>127</v>
      </c>
      <c r="L143" t="s">
        <v>127</v>
      </c>
      <c r="M143" t="s">
        <v>127</v>
      </c>
      <c r="N143" t="s">
        <v>127</v>
      </c>
      <c r="O143" t="s">
        <v>127</v>
      </c>
      <c r="P143" t="s">
        <v>127</v>
      </c>
      <c r="Q143" t="s">
        <v>127</v>
      </c>
      <c r="R143" t="s">
        <v>127</v>
      </c>
      <c r="S143" t="s">
        <v>127</v>
      </c>
      <c r="T143" t="s">
        <v>127</v>
      </c>
    </row>
    <row r="144" spans="1:20">
      <c r="A144" t="s">
        <v>127</v>
      </c>
      <c r="B144" t="s">
        <v>127</v>
      </c>
      <c r="C144" t="s">
        <v>127</v>
      </c>
      <c r="D144" t="s">
        <v>127</v>
      </c>
      <c r="E144" t="s">
        <v>127</v>
      </c>
      <c r="F144" t="s">
        <v>127</v>
      </c>
      <c r="G144" t="s">
        <v>127</v>
      </c>
      <c r="H144" t="s">
        <v>127</v>
      </c>
      <c r="I144" t="s">
        <v>127</v>
      </c>
      <c r="J144" t="s">
        <v>127</v>
      </c>
      <c r="K144" t="s">
        <v>127</v>
      </c>
      <c r="L144" t="s">
        <v>127</v>
      </c>
      <c r="M144" t="s">
        <v>127</v>
      </c>
      <c r="N144" t="s">
        <v>127</v>
      </c>
      <c r="O144" t="s">
        <v>127</v>
      </c>
      <c r="P144" t="s">
        <v>127</v>
      </c>
      <c r="Q144" t="s">
        <v>127</v>
      </c>
      <c r="R144" t="s">
        <v>127</v>
      </c>
      <c r="S144" t="s">
        <v>127</v>
      </c>
      <c r="T144" t="s">
        <v>127</v>
      </c>
    </row>
    <row r="145" spans="1:20">
      <c r="A145" t="s">
        <v>127</v>
      </c>
      <c r="B145" t="s">
        <v>127</v>
      </c>
      <c r="C145" t="s">
        <v>127</v>
      </c>
      <c r="D145" t="s">
        <v>127</v>
      </c>
      <c r="E145" t="s">
        <v>127</v>
      </c>
      <c r="F145" t="s">
        <v>127</v>
      </c>
      <c r="G145" t="s">
        <v>127</v>
      </c>
      <c r="H145" t="s">
        <v>127</v>
      </c>
      <c r="I145" t="s">
        <v>127</v>
      </c>
      <c r="J145" t="s">
        <v>127</v>
      </c>
      <c r="K145" t="s">
        <v>127</v>
      </c>
      <c r="L145" t="s">
        <v>127</v>
      </c>
      <c r="M145" t="s">
        <v>127</v>
      </c>
      <c r="N145" t="s">
        <v>127</v>
      </c>
      <c r="O145" t="s">
        <v>127</v>
      </c>
      <c r="P145" t="s">
        <v>127</v>
      </c>
      <c r="Q145" t="s">
        <v>127</v>
      </c>
      <c r="R145" t="s">
        <v>127</v>
      </c>
      <c r="S145" t="s">
        <v>127</v>
      </c>
      <c r="T145" t="s">
        <v>127</v>
      </c>
    </row>
    <row r="146" spans="1:20">
      <c r="A146" t="s">
        <v>127</v>
      </c>
      <c r="B146" t="s">
        <v>127</v>
      </c>
      <c r="C146" t="s">
        <v>127</v>
      </c>
      <c r="D146" t="s">
        <v>127</v>
      </c>
      <c r="E146" t="s">
        <v>127</v>
      </c>
      <c r="F146" t="s">
        <v>127</v>
      </c>
      <c r="G146" t="s">
        <v>127</v>
      </c>
      <c r="H146" t="s">
        <v>127</v>
      </c>
      <c r="I146" t="s">
        <v>127</v>
      </c>
      <c r="J146" t="s">
        <v>127</v>
      </c>
      <c r="K146" t="s">
        <v>127</v>
      </c>
      <c r="L146" t="s">
        <v>127</v>
      </c>
      <c r="M146" t="s">
        <v>127</v>
      </c>
      <c r="N146" t="s">
        <v>127</v>
      </c>
      <c r="O146" t="s">
        <v>127</v>
      </c>
      <c r="P146" t="s">
        <v>127</v>
      </c>
      <c r="Q146" t="s">
        <v>127</v>
      </c>
      <c r="R146" t="s">
        <v>127</v>
      </c>
      <c r="S146" t="s">
        <v>127</v>
      </c>
      <c r="T146" t="s">
        <v>127</v>
      </c>
    </row>
    <row r="147" spans="1:20">
      <c r="A147" t="s">
        <v>127</v>
      </c>
      <c r="B147" t="s">
        <v>127</v>
      </c>
      <c r="C147" t="s">
        <v>127</v>
      </c>
      <c r="D147" t="s">
        <v>127</v>
      </c>
      <c r="E147" t="s">
        <v>127</v>
      </c>
      <c r="F147" t="s">
        <v>127</v>
      </c>
      <c r="G147" t="s">
        <v>127</v>
      </c>
      <c r="H147" t="s">
        <v>127</v>
      </c>
      <c r="I147" t="s">
        <v>127</v>
      </c>
      <c r="J147" t="s">
        <v>127</v>
      </c>
      <c r="K147" t="s">
        <v>127</v>
      </c>
      <c r="L147" t="s">
        <v>127</v>
      </c>
      <c r="M147" t="s">
        <v>127</v>
      </c>
      <c r="N147" t="s">
        <v>127</v>
      </c>
      <c r="O147" t="s">
        <v>127</v>
      </c>
      <c r="P147" t="s">
        <v>127</v>
      </c>
      <c r="Q147" t="s">
        <v>127</v>
      </c>
      <c r="R147" t="s">
        <v>127</v>
      </c>
      <c r="S147" t="s">
        <v>127</v>
      </c>
      <c r="T147" t="s">
        <v>127</v>
      </c>
    </row>
    <row r="148" spans="1:20">
      <c r="A148" t="s">
        <v>127</v>
      </c>
      <c r="B148" t="s">
        <v>127</v>
      </c>
      <c r="C148" t="s">
        <v>127</v>
      </c>
      <c r="D148" t="s">
        <v>127</v>
      </c>
      <c r="E148" t="s">
        <v>127</v>
      </c>
      <c r="F148" t="s">
        <v>127</v>
      </c>
      <c r="G148" t="s">
        <v>127</v>
      </c>
      <c r="H148" t="s">
        <v>127</v>
      </c>
      <c r="I148" t="s">
        <v>127</v>
      </c>
      <c r="J148" t="s">
        <v>127</v>
      </c>
      <c r="K148" t="s">
        <v>127</v>
      </c>
      <c r="L148" t="s">
        <v>127</v>
      </c>
      <c r="M148" t="s">
        <v>127</v>
      </c>
      <c r="N148" t="s">
        <v>127</v>
      </c>
      <c r="O148" t="s">
        <v>127</v>
      </c>
      <c r="P148" t="s">
        <v>127</v>
      </c>
      <c r="Q148" t="s">
        <v>127</v>
      </c>
      <c r="R148" t="s">
        <v>127</v>
      </c>
      <c r="S148" t="s">
        <v>127</v>
      </c>
      <c r="T148" t="s">
        <v>127</v>
      </c>
    </row>
    <row r="149" spans="1:20">
      <c r="A149" t="s">
        <v>127</v>
      </c>
      <c r="B149" t="s">
        <v>127</v>
      </c>
      <c r="C149" t="s">
        <v>127</v>
      </c>
      <c r="D149" t="s">
        <v>127</v>
      </c>
      <c r="E149" t="s">
        <v>127</v>
      </c>
      <c r="F149" t="s">
        <v>127</v>
      </c>
      <c r="G149" t="s">
        <v>127</v>
      </c>
      <c r="H149" t="s">
        <v>127</v>
      </c>
      <c r="I149" t="s">
        <v>127</v>
      </c>
      <c r="J149" t="s">
        <v>127</v>
      </c>
      <c r="K149" t="s">
        <v>127</v>
      </c>
      <c r="L149" t="s">
        <v>127</v>
      </c>
      <c r="M149" t="s">
        <v>127</v>
      </c>
      <c r="N149" t="s">
        <v>127</v>
      </c>
      <c r="O149" t="s">
        <v>127</v>
      </c>
      <c r="P149" t="s">
        <v>127</v>
      </c>
      <c r="Q149" t="s">
        <v>127</v>
      </c>
      <c r="R149" t="s">
        <v>127</v>
      </c>
      <c r="S149" t="s">
        <v>127</v>
      </c>
      <c r="T149" t="s">
        <v>127</v>
      </c>
    </row>
    <row r="150" spans="1:20">
      <c r="A150" t="s">
        <v>127</v>
      </c>
      <c r="B150" t="s">
        <v>127</v>
      </c>
      <c r="C150" t="s">
        <v>127</v>
      </c>
      <c r="D150" t="s">
        <v>127</v>
      </c>
      <c r="E150" t="s">
        <v>127</v>
      </c>
      <c r="F150" t="s">
        <v>127</v>
      </c>
      <c r="G150" t="s">
        <v>127</v>
      </c>
      <c r="H150" t="s">
        <v>127</v>
      </c>
      <c r="I150" t="s">
        <v>127</v>
      </c>
      <c r="J150" t="s">
        <v>127</v>
      </c>
      <c r="K150" t="s">
        <v>127</v>
      </c>
      <c r="L150" t="s">
        <v>127</v>
      </c>
      <c r="M150" t="s">
        <v>127</v>
      </c>
      <c r="N150" t="s">
        <v>127</v>
      </c>
      <c r="O150" t="s">
        <v>127</v>
      </c>
      <c r="P150" t="s">
        <v>127</v>
      </c>
      <c r="Q150" t="s">
        <v>127</v>
      </c>
      <c r="R150" t="s">
        <v>127</v>
      </c>
      <c r="S150" t="s">
        <v>127</v>
      </c>
      <c r="T150" t="s">
        <v>127</v>
      </c>
    </row>
    <row r="151" spans="1:20">
      <c r="A151" t="s">
        <v>127</v>
      </c>
      <c r="B151" t="s">
        <v>127</v>
      </c>
      <c r="C151" t="s">
        <v>127</v>
      </c>
      <c r="D151" t="s">
        <v>127</v>
      </c>
      <c r="E151" t="s">
        <v>127</v>
      </c>
      <c r="F151" t="s">
        <v>127</v>
      </c>
      <c r="G151" t="s">
        <v>127</v>
      </c>
      <c r="H151" t="s">
        <v>127</v>
      </c>
      <c r="I151" t="s">
        <v>127</v>
      </c>
      <c r="J151" t="s">
        <v>127</v>
      </c>
      <c r="K151" t="s">
        <v>127</v>
      </c>
      <c r="L151" t="s">
        <v>127</v>
      </c>
      <c r="M151" t="s">
        <v>127</v>
      </c>
      <c r="N151" t="s">
        <v>127</v>
      </c>
      <c r="O151" t="s">
        <v>127</v>
      </c>
      <c r="P151" t="s">
        <v>127</v>
      </c>
      <c r="Q151" t="s">
        <v>127</v>
      </c>
      <c r="R151" t="s">
        <v>127</v>
      </c>
      <c r="S151" t="s">
        <v>127</v>
      </c>
      <c r="T151" t="s">
        <v>127</v>
      </c>
    </row>
    <row r="152" spans="1:20">
      <c r="A152" t="s">
        <v>127</v>
      </c>
      <c r="B152" t="s">
        <v>127</v>
      </c>
      <c r="C152" t="s">
        <v>127</v>
      </c>
      <c r="D152" t="s">
        <v>127</v>
      </c>
      <c r="E152" t="s">
        <v>127</v>
      </c>
      <c r="F152" t="s">
        <v>127</v>
      </c>
      <c r="G152" t="s">
        <v>127</v>
      </c>
      <c r="H152" t="s">
        <v>127</v>
      </c>
      <c r="I152" t="s">
        <v>127</v>
      </c>
      <c r="J152" t="s">
        <v>127</v>
      </c>
      <c r="K152" t="s">
        <v>127</v>
      </c>
      <c r="L152" t="s">
        <v>127</v>
      </c>
      <c r="M152" t="s">
        <v>127</v>
      </c>
      <c r="N152" t="s">
        <v>127</v>
      </c>
      <c r="O152" t="s">
        <v>127</v>
      </c>
      <c r="P152" t="s">
        <v>127</v>
      </c>
      <c r="Q152" t="s">
        <v>127</v>
      </c>
      <c r="R152" t="s">
        <v>127</v>
      </c>
      <c r="S152" t="s">
        <v>127</v>
      </c>
      <c r="T152" t="s">
        <v>127</v>
      </c>
    </row>
    <row r="153" spans="1:20">
      <c r="A153" t="s">
        <v>127</v>
      </c>
      <c r="B153" t="s">
        <v>127</v>
      </c>
      <c r="C153" t="s">
        <v>127</v>
      </c>
      <c r="D153" t="s">
        <v>127</v>
      </c>
      <c r="E153" t="s">
        <v>127</v>
      </c>
      <c r="F153" t="s">
        <v>127</v>
      </c>
      <c r="G153" t="s">
        <v>127</v>
      </c>
      <c r="H153" t="s">
        <v>127</v>
      </c>
      <c r="I153" t="s">
        <v>127</v>
      </c>
      <c r="J153" t="s">
        <v>127</v>
      </c>
      <c r="K153" t="s">
        <v>127</v>
      </c>
      <c r="L153" t="s">
        <v>127</v>
      </c>
      <c r="M153" t="s">
        <v>127</v>
      </c>
      <c r="N153" t="s">
        <v>127</v>
      </c>
      <c r="O153" t="s">
        <v>127</v>
      </c>
      <c r="P153" t="s">
        <v>127</v>
      </c>
      <c r="Q153" t="s">
        <v>127</v>
      </c>
      <c r="R153" t="s">
        <v>127</v>
      </c>
      <c r="S153" t="s">
        <v>127</v>
      </c>
      <c r="T153" t="s">
        <v>127</v>
      </c>
    </row>
    <row r="154" spans="1:20">
      <c r="A154" t="s">
        <v>127</v>
      </c>
      <c r="B154" t="s">
        <v>127</v>
      </c>
      <c r="C154" t="s">
        <v>127</v>
      </c>
      <c r="D154" t="s">
        <v>127</v>
      </c>
      <c r="E154" t="s">
        <v>127</v>
      </c>
      <c r="F154" t="s">
        <v>127</v>
      </c>
      <c r="G154" t="s">
        <v>127</v>
      </c>
      <c r="H154" t="s">
        <v>127</v>
      </c>
      <c r="I154" t="s">
        <v>127</v>
      </c>
      <c r="J154" t="s">
        <v>127</v>
      </c>
      <c r="K154" t="s">
        <v>127</v>
      </c>
      <c r="L154" t="s">
        <v>127</v>
      </c>
      <c r="M154" t="s">
        <v>127</v>
      </c>
      <c r="N154" t="s">
        <v>127</v>
      </c>
      <c r="O154" t="s">
        <v>127</v>
      </c>
      <c r="P154" t="s">
        <v>127</v>
      </c>
      <c r="Q154" t="s">
        <v>127</v>
      </c>
      <c r="R154" t="s">
        <v>127</v>
      </c>
      <c r="S154" t="s">
        <v>127</v>
      </c>
      <c r="T154" t="s">
        <v>127</v>
      </c>
    </row>
    <row r="155" spans="1:20">
      <c r="A155" t="s">
        <v>127</v>
      </c>
      <c r="B155" t="s">
        <v>127</v>
      </c>
      <c r="C155" t="s">
        <v>127</v>
      </c>
      <c r="D155" t="s">
        <v>127</v>
      </c>
      <c r="E155" t="s">
        <v>127</v>
      </c>
      <c r="F155" t="s">
        <v>127</v>
      </c>
      <c r="G155" t="s">
        <v>127</v>
      </c>
      <c r="H155" t="s">
        <v>127</v>
      </c>
      <c r="I155" t="s">
        <v>127</v>
      </c>
      <c r="J155" t="s">
        <v>127</v>
      </c>
      <c r="K155" t="s">
        <v>127</v>
      </c>
      <c r="L155" t="s">
        <v>127</v>
      </c>
      <c r="M155" t="s">
        <v>127</v>
      </c>
      <c r="N155" t="s">
        <v>127</v>
      </c>
      <c r="O155" t="s">
        <v>127</v>
      </c>
      <c r="P155" t="s">
        <v>127</v>
      </c>
      <c r="Q155" t="s">
        <v>127</v>
      </c>
      <c r="R155" t="s">
        <v>127</v>
      </c>
      <c r="S155" t="s">
        <v>127</v>
      </c>
      <c r="T155" t="s">
        <v>127</v>
      </c>
    </row>
    <row r="156" spans="1:20">
      <c r="A156" t="s">
        <v>127</v>
      </c>
      <c r="B156" t="s">
        <v>127</v>
      </c>
      <c r="C156" t="s">
        <v>127</v>
      </c>
      <c r="D156" t="s">
        <v>127</v>
      </c>
      <c r="E156" t="s">
        <v>127</v>
      </c>
      <c r="F156" t="s">
        <v>127</v>
      </c>
      <c r="G156" t="s">
        <v>127</v>
      </c>
      <c r="H156" t="s">
        <v>127</v>
      </c>
      <c r="I156" t="s">
        <v>127</v>
      </c>
      <c r="J156" t="s">
        <v>127</v>
      </c>
      <c r="K156" t="s">
        <v>127</v>
      </c>
      <c r="L156" t="s">
        <v>127</v>
      </c>
      <c r="M156" t="s">
        <v>127</v>
      </c>
      <c r="N156" t="s">
        <v>127</v>
      </c>
      <c r="O156" t="s">
        <v>127</v>
      </c>
      <c r="P156" t="s">
        <v>127</v>
      </c>
      <c r="Q156" t="s">
        <v>127</v>
      </c>
      <c r="R156" t="s">
        <v>127</v>
      </c>
      <c r="S156" t="s">
        <v>127</v>
      </c>
      <c r="T156" t="s">
        <v>127</v>
      </c>
    </row>
    <row r="157" spans="1:20">
      <c r="A157" t="s">
        <v>127</v>
      </c>
      <c r="B157" t="s">
        <v>127</v>
      </c>
      <c r="C157" t="s">
        <v>127</v>
      </c>
      <c r="D157" t="s">
        <v>127</v>
      </c>
      <c r="E157" t="s">
        <v>127</v>
      </c>
      <c r="F157" t="s">
        <v>127</v>
      </c>
      <c r="G157" t="s">
        <v>127</v>
      </c>
      <c r="H157" t="s">
        <v>127</v>
      </c>
      <c r="I157" t="s">
        <v>127</v>
      </c>
      <c r="J157" t="s">
        <v>127</v>
      </c>
      <c r="K157" t="s">
        <v>127</v>
      </c>
      <c r="L157" t="s">
        <v>127</v>
      </c>
      <c r="M157" t="s">
        <v>127</v>
      </c>
      <c r="N157" t="s">
        <v>127</v>
      </c>
      <c r="O157" t="s">
        <v>127</v>
      </c>
      <c r="P157" t="s">
        <v>127</v>
      </c>
      <c r="Q157" t="s">
        <v>127</v>
      </c>
      <c r="R157" t="s">
        <v>127</v>
      </c>
      <c r="S157" t="s">
        <v>127</v>
      </c>
      <c r="T157" t="s">
        <v>127</v>
      </c>
    </row>
    <row r="158" spans="1:20">
      <c r="A158" t="s">
        <v>127</v>
      </c>
      <c r="B158" t="s">
        <v>127</v>
      </c>
      <c r="C158" t="s">
        <v>127</v>
      </c>
      <c r="D158" t="s">
        <v>127</v>
      </c>
      <c r="E158" t="s">
        <v>127</v>
      </c>
      <c r="F158" t="s">
        <v>127</v>
      </c>
      <c r="G158" t="s">
        <v>127</v>
      </c>
      <c r="H158" t="s">
        <v>127</v>
      </c>
      <c r="I158" t="s">
        <v>127</v>
      </c>
      <c r="J158" t="s">
        <v>127</v>
      </c>
      <c r="K158" t="s">
        <v>127</v>
      </c>
      <c r="L158" t="s">
        <v>127</v>
      </c>
      <c r="M158" t="s">
        <v>127</v>
      </c>
      <c r="N158" t="s">
        <v>127</v>
      </c>
      <c r="O158" t="s">
        <v>127</v>
      </c>
      <c r="P158" t="s">
        <v>127</v>
      </c>
      <c r="Q158" t="s">
        <v>127</v>
      </c>
      <c r="R158" t="s">
        <v>127</v>
      </c>
      <c r="S158" t="s">
        <v>127</v>
      </c>
      <c r="T158" t="s">
        <v>127</v>
      </c>
    </row>
    <row r="159" spans="1:20">
      <c r="A159" t="s">
        <v>127</v>
      </c>
      <c r="B159" t="s">
        <v>127</v>
      </c>
      <c r="C159" t="s">
        <v>127</v>
      </c>
      <c r="D159" t="s">
        <v>127</v>
      </c>
      <c r="E159" t="s">
        <v>127</v>
      </c>
      <c r="F159" t="s">
        <v>127</v>
      </c>
      <c r="G159" t="s">
        <v>127</v>
      </c>
      <c r="H159" t="s">
        <v>127</v>
      </c>
      <c r="I159" t="s">
        <v>127</v>
      </c>
      <c r="J159" t="s">
        <v>127</v>
      </c>
      <c r="K159" t="s">
        <v>127</v>
      </c>
      <c r="L159" t="s">
        <v>127</v>
      </c>
      <c r="M159" t="s">
        <v>127</v>
      </c>
      <c r="N159" t="s">
        <v>127</v>
      </c>
      <c r="O159" t="s">
        <v>127</v>
      </c>
      <c r="P159" t="s">
        <v>127</v>
      </c>
      <c r="Q159" t="s">
        <v>127</v>
      </c>
      <c r="R159" t="s">
        <v>127</v>
      </c>
      <c r="S159" t="s">
        <v>127</v>
      </c>
      <c r="T159" t="s">
        <v>127</v>
      </c>
    </row>
    <row r="160" spans="1:20">
      <c r="A160" t="s">
        <v>127</v>
      </c>
      <c r="B160" t="s">
        <v>127</v>
      </c>
      <c r="C160" t="s">
        <v>127</v>
      </c>
      <c r="D160" t="s">
        <v>127</v>
      </c>
      <c r="E160" t="s">
        <v>127</v>
      </c>
      <c r="F160" t="s">
        <v>127</v>
      </c>
      <c r="G160" t="s">
        <v>127</v>
      </c>
      <c r="H160" t="s">
        <v>127</v>
      </c>
      <c r="I160" t="s">
        <v>127</v>
      </c>
      <c r="J160" t="s">
        <v>127</v>
      </c>
      <c r="K160" t="s">
        <v>127</v>
      </c>
      <c r="L160" t="s">
        <v>127</v>
      </c>
      <c r="M160" t="s">
        <v>127</v>
      </c>
      <c r="N160" t="s">
        <v>127</v>
      </c>
      <c r="O160" t="s">
        <v>127</v>
      </c>
      <c r="P160" t="s">
        <v>127</v>
      </c>
      <c r="Q160" t="s">
        <v>127</v>
      </c>
      <c r="R160" t="s">
        <v>127</v>
      </c>
      <c r="S160" t="s">
        <v>127</v>
      </c>
      <c r="T160" t="s">
        <v>127</v>
      </c>
    </row>
    <row r="161" spans="1:45">
      <c r="A161" t="s">
        <v>127</v>
      </c>
      <c r="B161" t="s">
        <v>127</v>
      </c>
      <c r="C161" t="s">
        <v>127</v>
      </c>
      <c r="D161" t="s">
        <v>127</v>
      </c>
      <c r="E161" t="s">
        <v>127</v>
      </c>
      <c r="F161" t="s">
        <v>127</v>
      </c>
      <c r="G161" t="s">
        <v>127</v>
      </c>
      <c r="H161" t="s">
        <v>127</v>
      </c>
      <c r="I161" t="s">
        <v>127</v>
      </c>
      <c r="J161" t="s">
        <v>127</v>
      </c>
      <c r="K161" t="s">
        <v>127</v>
      </c>
      <c r="L161" t="s">
        <v>127</v>
      </c>
      <c r="M161" t="s">
        <v>127</v>
      </c>
      <c r="N161" t="s">
        <v>127</v>
      </c>
      <c r="O161" t="s">
        <v>127</v>
      </c>
      <c r="P161" t="s">
        <v>127</v>
      </c>
      <c r="Q161" t="s">
        <v>127</v>
      </c>
      <c r="R161" t="s">
        <v>127</v>
      </c>
      <c r="S161" t="s">
        <v>127</v>
      </c>
      <c r="T161" t="s">
        <v>127</v>
      </c>
      <c r="AS161" s="121"/>
    </row>
    <row r="162" spans="1:45">
      <c r="A162" t="s">
        <v>127</v>
      </c>
      <c r="B162" t="s">
        <v>127</v>
      </c>
      <c r="C162" t="s">
        <v>127</v>
      </c>
      <c r="D162" t="s">
        <v>127</v>
      </c>
      <c r="E162" t="s">
        <v>127</v>
      </c>
      <c r="F162" t="s">
        <v>127</v>
      </c>
      <c r="G162" t="s">
        <v>127</v>
      </c>
      <c r="H162" t="s">
        <v>127</v>
      </c>
      <c r="I162" t="s">
        <v>127</v>
      </c>
      <c r="J162" t="s">
        <v>127</v>
      </c>
      <c r="K162" t="s">
        <v>127</v>
      </c>
      <c r="L162" t="s">
        <v>127</v>
      </c>
      <c r="M162" t="s">
        <v>127</v>
      </c>
      <c r="N162" t="s">
        <v>127</v>
      </c>
      <c r="O162" t="s">
        <v>127</v>
      </c>
      <c r="P162" t="s">
        <v>127</v>
      </c>
      <c r="Q162" t="s">
        <v>127</v>
      </c>
      <c r="R162" t="s">
        <v>127</v>
      </c>
      <c r="S162" t="s">
        <v>127</v>
      </c>
      <c r="T162" t="s">
        <v>127</v>
      </c>
    </row>
    <row r="163" spans="1:45">
      <c r="A163" t="s">
        <v>127</v>
      </c>
      <c r="B163" t="s">
        <v>127</v>
      </c>
      <c r="C163" t="s">
        <v>127</v>
      </c>
      <c r="D163" t="s">
        <v>127</v>
      </c>
      <c r="E163" t="s">
        <v>127</v>
      </c>
      <c r="F163" t="s">
        <v>127</v>
      </c>
      <c r="G163" t="s">
        <v>127</v>
      </c>
      <c r="H163" t="s">
        <v>127</v>
      </c>
      <c r="I163" t="s">
        <v>127</v>
      </c>
      <c r="J163" t="s">
        <v>127</v>
      </c>
      <c r="K163" t="s">
        <v>127</v>
      </c>
      <c r="L163" t="s">
        <v>127</v>
      </c>
      <c r="M163" t="s">
        <v>127</v>
      </c>
      <c r="N163" t="s">
        <v>127</v>
      </c>
      <c r="O163" t="s">
        <v>127</v>
      </c>
      <c r="P163" t="s">
        <v>127</v>
      </c>
      <c r="Q163" t="s">
        <v>127</v>
      </c>
      <c r="R163" t="s">
        <v>127</v>
      </c>
      <c r="S163" t="s">
        <v>127</v>
      </c>
      <c r="T163" t="s">
        <v>127</v>
      </c>
    </row>
    <row r="164" spans="1:45">
      <c r="A164" t="s">
        <v>127</v>
      </c>
      <c r="B164" t="s">
        <v>127</v>
      </c>
      <c r="C164" t="s">
        <v>127</v>
      </c>
      <c r="D164" t="s">
        <v>127</v>
      </c>
      <c r="E164" t="s">
        <v>127</v>
      </c>
      <c r="F164" t="s">
        <v>127</v>
      </c>
      <c r="G164" t="s">
        <v>127</v>
      </c>
      <c r="H164" t="s">
        <v>127</v>
      </c>
      <c r="I164" t="s">
        <v>127</v>
      </c>
      <c r="J164" t="s">
        <v>127</v>
      </c>
      <c r="K164" t="s">
        <v>127</v>
      </c>
      <c r="L164" t="s">
        <v>127</v>
      </c>
      <c r="M164" t="s">
        <v>127</v>
      </c>
      <c r="N164" t="s">
        <v>127</v>
      </c>
      <c r="O164" t="s">
        <v>127</v>
      </c>
      <c r="P164" t="s">
        <v>127</v>
      </c>
      <c r="Q164" t="s">
        <v>127</v>
      </c>
      <c r="R164" t="s">
        <v>127</v>
      </c>
      <c r="S164" t="s">
        <v>127</v>
      </c>
      <c r="T164" t="s">
        <v>127</v>
      </c>
    </row>
    <row r="165" spans="1:45">
      <c r="A165" t="s">
        <v>127</v>
      </c>
      <c r="B165" t="s">
        <v>127</v>
      </c>
      <c r="C165" t="s">
        <v>127</v>
      </c>
      <c r="D165" t="s">
        <v>127</v>
      </c>
      <c r="E165" t="s">
        <v>127</v>
      </c>
      <c r="F165" t="s">
        <v>127</v>
      </c>
      <c r="G165" t="s">
        <v>127</v>
      </c>
      <c r="H165" t="s">
        <v>127</v>
      </c>
      <c r="I165" t="s">
        <v>127</v>
      </c>
      <c r="J165" t="s">
        <v>127</v>
      </c>
      <c r="K165" t="s">
        <v>127</v>
      </c>
      <c r="L165" t="s">
        <v>127</v>
      </c>
      <c r="M165" t="s">
        <v>127</v>
      </c>
      <c r="N165" t="s">
        <v>127</v>
      </c>
      <c r="O165" t="s">
        <v>127</v>
      </c>
      <c r="P165" t="s">
        <v>127</v>
      </c>
      <c r="Q165" t="s">
        <v>127</v>
      </c>
      <c r="R165" t="s">
        <v>127</v>
      </c>
      <c r="S165" t="s">
        <v>127</v>
      </c>
      <c r="T165" t="s">
        <v>127</v>
      </c>
    </row>
    <row r="166" spans="1:45">
      <c r="A166" t="s">
        <v>127</v>
      </c>
      <c r="B166" t="s">
        <v>127</v>
      </c>
      <c r="C166" t="s">
        <v>127</v>
      </c>
      <c r="D166" t="s">
        <v>127</v>
      </c>
      <c r="E166" t="s">
        <v>127</v>
      </c>
      <c r="F166" t="s">
        <v>127</v>
      </c>
      <c r="G166" t="s">
        <v>127</v>
      </c>
      <c r="H166" t="s">
        <v>127</v>
      </c>
      <c r="I166" t="s">
        <v>127</v>
      </c>
      <c r="J166" t="s">
        <v>127</v>
      </c>
      <c r="K166" t="s">
        <v>127</v>
      </c>
      <c r="L166" t="s">
        <v>127</v>
      </c>
      <c r="M166" t="s">
        <v>127</v>
      </c>
      <c r="N166" t="s">
        <v>127</v>
      </c>
      <c r="O166" t="s">
        <v>127</v>
      </c>
      <c r="P166" t="s">
        <v>127</v>
      </c>
      <c r="Q166" t="s">
        <v>127</v>
      </c>
      <c r="R166" t="s">
        <v>127</v>
      </c>
      <c r="S166" t="s">
        <v>127</v>
      </c>
      <c r="T166" t="s">
        <v>127</v>
      </c>
    </row>
    <row r="167" spans="1:45">
      <c r="A167" t="s">
        <v>127</v>
      </c>
      <c r="B167" t="s">
        <v>127</v>
      </c>
      <c r="C167" t="s">
        <v>127</v>
      </c>
      <c r="D167" t="s">
        <v>127</v>
      </c>
      <c r="E167" t="s">
        <v>127</v>
      </c>
      <c r="F167" t="s">
        <v>127</v>
      </c>
      <c r="G167" t="s">
        <v>127</v>
      </c>
      <c r="H167" t="s">
        <v>127</v>
      </c>
      <c r="I167" t="s">
        <v>127</v>
      </c>
      <c r="J167" t="s">
        <v>127</v>
      </c>
      <c r="K167" t="s">
        <v>127</v>
      </c>
      <c r="L167" t="s">
        <v>127</v>
      </c>
      <c r="M167" t="s">
        <v>127</v>
      </c>
      <c r="N167" t="s">
        <v>127</v>
      </c>
      <c r="O167" t="s">
        <v>127</v>
      </c>
      <c r="P167" t="s">
        <v>127</v>
      </c>
      <c r="Q167" t="s">
        <v>127</v>
      </c>
      <c r="R167" t="s">
        <v>127</v>
      </c>
      <c r="S167" t="s">
        <v>127</v>
      </c>
      <c r="T167" t="s">
        <v>127</v>
      </c>
    </row>
    <row r="168" spans="1:45">
      <c r="A168" t="s">
        <v>127</v>
      </c>
      <c r="B168" t="s">
        <v>127</v>
      </c>
      <c r="C168" t="s">
        <v>127</v>
      </c>
      <c r="D168" t="s">
        <v>127</v>
      </c>
      <c r="E168" t="s">
        <v>127</v>
      </c>
      <c r="F168" t="s">
        <v>127</v>
      </c>
      <c r="G168" t="s">
        <v>127</v>
      </c>
      <c r="H168" t="s">
        <v>127</v>
      </c>
      <c r="I168" t="s">
        <v>127</v>
      </c>
      <c r="J168" t="s">
        <v>127</v>
      </c>
      <c r="K168" t="s">
        <v>127</v>
      </c>
      <c r="L168" t="s">
        <v>127</v>
      </c>
      <c r="M168" t="s">
        <v>127</v>
      </c>
      <c r="N168" t="s">
        <v>127</v>
      </c>
      <c r="O168" t="s">
        <v>127</v>
      </c>
      <c r="P168" t="s">
        <v>127</v>
      </c>
      <c r="Q168" t="s">
        <v>127</v>
      </c>
      <c r="R168" t="s">
        <v>127</v>
      </c>
      <c r="S168" t="s">
        <v>127</v>
      </c>
      <c r="T168" t="s">
        <v>127</v>
      </c>
    </row>
    <row r="169" spans="1:45">
      <c r="A169" t="s">
        <v>127</v>
      </c>
      <c r="B169" t="s">
        <v>127</v>
      </c>
      <c r="C169" t="s">
        <v>127</v>
      </c>
      <c r="D169" t="s">
        <v>127</v>
      </c>
      <c r="E169" t="s">
        <v>127</v>
      </c>
      <c r="F169" t="s">
        <v>127</v>
      </c>
      <c r="G169" t="s">
        <v>127</v>
      </c>
      <c r="H169" t="s">
        <v>127</v>
      </c>
      <c r="I169" t="s">
        <v>127</v>
      </c>
      <c r="J169" t="s">
        <v>127</v>
      </c>
      <c r="K169" t="s">
        <v>127</v>
      </c>
      <c r="L169" t="s">
        <v>127</v>
      </c>
      <c r="M169" t="s">
        <v>127</v>
      </c>
      <c r="N169" t="s">
        <v>127</v>
      </c>
      <c r="O169" t="s">
        <v>127</v>
      </c>
      <c r="P169" t="s">
        <v>127</v>
      </c>
      <c r="Q169" t="s">
        <v>127</v>
      </c>
      <c r="R169" t="s">
        <v>127</v>
      </c>
      <c r="S169" t="s">
        <v>127</v>
      </c>
      <c r="T169" t="s">
        <v>127</v>
      </c>
    </row>
    <row r="170" spans="1:45">
      <c r="A170" t="s">
        <v>127</v>
      </c>
      <c r="B170" t="s">
        <v>127</v>
      </c>
      <c r="C170" t="s">
        <v>127</v>
      </c>
      <c r="D170" t="s">
        <v>127</v>
      </c>
      <c r="E170" t="s">
        <v>127</v>
      </c>
      <c r="F170" t="s">
        <v>127</v>
      </c>
      <c r="G170" t="s">
        <v>127</v>
      </c>
      <c r="H170" t="s">
        <v>127</v>
      </c>
      <c r="I170" t="s">
        <v>127</v>
      </c>
      <c r="J170" t="s">
        <v>127</v>
      </c>
      <c r="K170" t="s">
        <v>127</v>
      </c>
      <c r="L170" t="s">
        <v>127</v>
      </c>
      <c r="M170" t="s">
        <v>127</v>
      </c>
      <c r="N170" t="s">
        <v>127</v>
      </c>
      <c r="O170" t="s">
        <v>127</v>
      </c>
      <c r="P170" t="s">
        <v>127</v>
      </c>
      <c r="Q170" t="s">
        <v>127</v>
      </c>
      <c r="R170" t="s">
        <v>127</v>
      </c>
      <c r="S170" t="s">
        <v>127</v>
      </c>
      <c r="T170" t="s">
        <v>127</v>
      </c>
    </row>
    <row r="171" spans="1:45">
      <c r="A171" t="s">
        <v>127</v>
      </c>
      <c r="B171" t="s">
        <v>127</v>
      </c>
      <c r="C171" t="s">
        <v>127</v>
      </c>
      <c r="D171" t="s">
        <v>127</v>
      </c>
      <c r="E171" t="s">
        <v>127</v>
      </c>
      <c r="F171" t="s">
        <v>127</v>
      </c>
      <c r="G171" t="s">
        <v>127</v>
      </c>
      <c r="H171" t="s">
        <v>127</v>
      </c>
      <c r="I171" t="s">
        <v>127</v>
      </c>
      <c r="J171" t="s">
        <v>127</v>
      </c>
      <c r="K171" t="s">
        <v>127</v>
      </c>
      <c r="L171" t="s">
        <v>127</v>
      </c>
      <c r="M171" t="s">
        <v>127</v>
      </c>
      <c r="N171" t="s">
        <v>127</v>
      </c>
      <c r="O171" t="s">
        <v>127</v>
      </c>
      <c r="P171" t="s">
        <v>127</v>
      </c>
      <c r="Q171" t="s">
        <v>127</v>
      </c>
      <c r="R171" t="s">
        <v>127</v>
      </c>
      <c r="S171" t="s">
        <v>127</v>
      </c>
      <c r="T171" t="s">
        <v>127</v>
      </c>
    </row>
    <row r="172" spans="1:45">
      <c r="A172" t="s">
        <v>127</v>
      </c>
      <c r="B172" t="s">
        <v>127</v>
      </c>
      <c r="C172" t="s">
        <v>127</v>
      </c>
      <c r="D172" t="s">
        <v>127</v>
      </c>
      <c r="E172" t="s">
        <v>127</v>
      </c>
      <c r="F172" t="s">
        <v>127</v>
      </c>
      <c r="G172" t="s">
        <v>127</v>
      </c>
      <c r="H172" t="s">
        <v>127</v>
      </c>
      <c r="I172" t="s">
        <v>127</v>
      </c>
      <c r="J172" t="s">
        <v>127</v>
      </c>
      <c r="K172" t="s">
        <v>127</v>
      </c>
      <c r="L172" t="s">
        <v>127</v>
      </c>
      <c r="M172" t="s">
        <v>127</v>
      </c>
      <c r="N172" t="s">
        <v>127</v>
      </c>
      <c r="O172" t="s">
        <v>127</v>
      </c>
      <c r="P172" t="s">
        <v>127</v>
      </c>
      <c r="Q172" t="s">
        <v>127</v>
      </c>
      <c r="R172" t="s">
        <v>127</v>
      </c>
      <c r="S172" t="s">
        <v>127</v>
      </c>
      <c r="T172" t="s">
        <v>127</v>
      </c>
    </row>
    <row r="173" spans="1:45">
      <c r="A173" t="s">
        <v>127</v>
      </c>
      <c r="B173" t="s">
        <v>127</v>
      </c>
      <c r="C173" t="s">
        <v>127</v>
      </c>
      <c r="D173" t="s">
        <v>127</v>
      </c>
      <c r="E173" t="s">
        <v>127</v>
      </c>
      <c r="F173" t="s">
        <v>127</v>
      </c>
      <c r="G173" t="s">
        <v>127</v>
      </c>
      <c r="H173" t="s">
        <v>127</v>
      </c>
      <c r="I173" t="s">
        <v>127</v>
      </c>
      <c r="J173" t="s">
        <v>127</v>
      </c>
      <c r="K173" t="s">
        <v>127</v>
      </c>
      <c r="L173" t="s">
        <v>127</v>
      </c>
      <c r="M173" t="s">
        <v>127</v>
      </c>
      <c r="N173" t="s">
        <v>127</v>
      </c>
      <c r="O173" t="s">
        <v>127</v>
      </c>
      <c r="P173" t="s">
        <v>127</v>
      </c>
      <c r="Q173" t="s">
        <v>127</v>
      </c>
      <c r="R173" t="s">
        <v>127</v>
      </c>
      <c r="S173" t="s">
        <v>127</v>
      </c>
      <c r="T173" t="s">
        <v>127</v>
      </c>
    </row>
    <row r="174" spans="1:45">
      <c r="A174" t="s">
        <v>127</v>
      </c>
      <c r="B174" t="s">
        <v>127</v>
      </c>
      <c r="C174" t="s">
        <v>127</v>
      </c>
      <c r="D174" t="s">
        <v>127</v>
      </c>
      <c r="E174" t="s">
        <v>127</v>
      </c>
      <c r="F174" t="s">
        <v>127</v>
      </c>
      <c r="G174" t="s">
        <v>127</v>
      </c>
      <c r="H174" t="s">
        <v>127</v>
      </c>
      <c r="I174" t="s">
        <v>127</v>
      </c>
      <c r="J174" t="s">
        <v>127</v>
      </c>
      <c r="K174" t="s">
        <v>127</v>
      </c>
      <c r="L174" t="s">
        <v>127</v>
      </c>
      <c r="M174" t="s">
        <v>127</v>
      </c>
      <c r="N174" t="s">
        <v>127</v>
      </c>
      <c r="O174" t="s">
        <v>127</v>
      </c>
      <c r="P174" t="s">
        <v>127</v>
      </c>
      <c r="Q174" t="s">
        <v>127</v>
      </c>
      <c r="R174" t="s">
        <v>127</v>
      </c>
      <c r="S174" t="s">
        <v>127</v>
      </c>
      <c r="T174" t="s">
        <v>127</v>
      </c>
    </row>
    <row r="175" spans="1:45">
      <c r="A175" t="s">
        <v>127</v>
      </c>
      <c r="B175" t="s">
        <v>127</v>
      </c>
      <c r="C175" t="s">
        <v>127</v>
      </c>
      <c r="D175" t="s">
        <v>127</v>
      </c>
      <c r="E175" t="s">
        <v>127</v>
      </c>
      <c r="F175" t="s">
        <v>127</v>
      </c>
      <c r="G175" t="s">
        <v>127</v>
      </c>
      <c r="H175" t="s">
        <v>127</v>
      </c>
      <c r="I175" t="s">
        <v>127</v>
      </c>
      <c r="J175" t="s">
        <v>127</v>
      </c>
      <c r="K175" t="s">
        <v>127</v>
      </c>
      <c r="L175" t="s">
        <v>127</v>
      </c>
      <c r="M175" t="s">
        <v>127</v>
      </c>
      <c r="N175" t="s">
        <v>127</v>
      </c>
      <c r="O175" t="s">
        <v>127</v>
      </c>
      <c r="P175" t="s">
        <v>127</v>
      </c>
      <c r="Q175" t="s">
        <v>127</v>
      </c>
      <c r="R175" t="s">
        <v>127</v>
      </c>
      <c r="S175" t="s">
        <v>127</v>
      </c>
      <c r="T175" t="s">
        <v>127</v>
      </c>
    </row>
    <row r="176" spans="1:45">
      <c r="A176" t="s">
        <v>127</v>
      </c>
      <c r="B176" t="s">
        <v>127</v>
      </c>
      <c r="C176" t="s">
        <v>127</v>
      </c>
      <c r="D176" t="s">
        <v>127</v>
      </c>
      <c r="E176" t="s">
        <v>127</v>
      </c>
      <c r="F176" t="s">
        <v>127</v>
      </c>
      <c r="G176" t="s">
        <v>127</v>
      </c>
      <c r="H176" t="s">
        <v>127</v>
      </c>
      <c r="I176" t="s">
        <v>127</v>
      </c>
      <c r="J176" t="s">
        <v>127</v>
      </c>
      <c r="K176" t="s">
        <v>127</v>
      </c>
      <c r="L176" t="s">
        <v>127</v>
      </c>
      <c r="M176" t="s">
        <v>127</v>
      </c>
      <c r="N176" t="s">
        <v>127</v>
      </c>
      <c r="O176" t="s">
        <v>127</v>
      </c>
      <c r="P176" t="s">
        <v>127</v>
      </c>
      <c r="Q176" t="s">
        <v>127</v>
      </c>
      <c r="R176" t="s">
        <v>127</v>
      </c>
      <c r="S176" t="s">
        <v>127</v>
      </c>
      <c r="T176" t="s">
        <v>127</v>
      </c>
    </row>
    <row r="177" spans="1:20">
      <c r="A177" t="s">
        <v>127</v>
      </c>
      <c r="B177" t="s">
        <v>127</v>
      </c>
      <c r="C177" t="s">
        <v>127</v>
      </c>
      <c r="D177" t="s">
        <v>127</v>
      </c>
      <c r="E177" t="s">
        <v>127</v>
      </c>
      <c r="F177" t="s">
        <v>127</v>
      </c>
      <c r="G177" t="s">
        <v>127</v>
      </c>
      <c r="H177" t="s">
        <v>127</v>
      </c>
      <c r="I177" t="s">
        <v>127</v>
      </c>
      <c r="J177" t="s">
        <v>127</v>
      </c>
      <c r="K177" t="s">
        <v>127</v>
      </c>
      <c r="L177" t="s">
        <v>127</v>
      </c>
      <c r="M177" t="s">
        <v>127</v>
      </c>
      <c r="N177" t="s">
        <v>127</v>
      </c>
      <c r="O177" t="s">
        <v>127</v>
      </c>
      <c r="P177" t="s">
        <v>127</v>
      </c>
      <c r="Q177" t="s">
        <v>127</v>
      </c>
      <c r="R177" t="s">
        <v>127</v>
      </c>
      <c r="S177" t="s">
        <v>127</v>
      </c>
      <c r="T177" t="s">
        <v>127</v>
      </c>
    </row>
    <row r="178" spans="1:20">
      <c r="A178" t="s">
        <v>127</v>
      </c>
      <c r="B178" t="s">
        <v>127</v>
      </c>
      <c r="C178" t="s">
        <v>127</v>
      </c>
      <c r="D178" t="s">
        <v>127</v>
      </c>
      <c r="E178" t="s">
        <v>127</v>
      </c>
      <c r="F178" t="s">
        <v>127</v>
      </c>
      <c r="G178" t="s">
        <v>127</v>
      </c>
      <c r="H178" t="s">
        <v>127</v>
      </c>
      <c r="I178" t="s">
        <v>127</v>
      </c>
      <c r="J178" t="s">
        <v>127</v>
      </c>
      <c r="K178" t="s">
        <v>127</v>
      </c>
      <c r="L178" t="s">
        <v>127</v>
      </c>
      <c r="M178" t="s">
        <v>127</v>
      </c>
      <c r="N178" t="s">
        <v>127</v>
      </c>
      <c r="O178" t="s">
        <v>127</v>
      </c>
      <c r="P178" t="s">
        <v>127</v>
      </c>
      <c r="Q178" t="s">
        <v>127</v>
      </c>
      <c r="R178" t="s">
        <v>127</v>
      </c>
      <c r="S178" t="s">
        <v>127</v>
      </c>
      <c r="T178" t="s">
        <v>127</v>
      </c>
    </row>
    <row r="179" spans="1:20">
      <c r="A179" t="s">
        <v>127</v>
      </c>
      <c r="B179" t="s">
        <v>127</v>
      </c>
      <c r="C179" t="s">
        <v>127</v>
      </c>
      <c r="D179" t="s">
        <v>127</v>
      </c>
      <c r="E179" t="s">
        <v>127</v>
      </c>
      <c r="F179" t="s">
        <v>127</v>
      </c>
      <c r="G179" t="s">
        <v>127</v>
      </c>
      <c r="H179" t="s">
        <v>127</v>
      </c>
      <c r="I179" t="s">
        <v>127</v>
      </c>
      <c r="J179" t="s">
        <v>127</v>
      </c>
      <c r="K179" t="s">
        <v>127</v>
      </c>
      <c r="L179" t="s">
        <v>127</v>
      </c>
      <c r="M179" t="s">
        <v>127</v>
      </c>
      <c r="N179" t="s">
        <v>127</v>
      </c>
      <c r="O179" t="s">
        <v>127</v>
      </c>
      <c r="P179" t="s">
        <v>127</v>
      </c>
      <c r="Q179" t="s">
        <v>127</v>
      </c>
      <c r="R179" t="s">
        <v>127</v>
      </c>
      <c r="S179" t="s">
        <v>127</v>
      </c>
      <c r="T179" t="s">
        <v>127</v>
      </c>
    </row>
    <row r="180" spans="1:20">
      <c r="A180" t="s">
        <v>127</v>
      </c>
      <c r="B180" t="s">
        <v>127</v>
      </c>
      <c r="C180" t="s">
        <v>127</v>
      </c>
      <c r="D180" t="s">
        <v>127</v>
      </c>
      <c r="E180" t="s">
        <v>127</v>
      </c>
      <c r="F180" t="s">
        <v>127</v>
      </c>
      <c r="G180" t="s">
        <v>127</v>
      </c>
      <c r="H180" t="s">
        <v>127</v>
      </c>
      <c r="I180" t="s">
        <v>127</v>
      </c>
      <c r="J180" t="s">
        <v>127</v>
      </c>
      <c r="K180" t="s">
        <v>127</v>
      </c>
      <c r="L180" t="s">
        <v>127</v>
      </c>
      <c r="M180" t="s">
        <v>127</v>
      </c>
      <c r="N180" t="s">
        <v>127</v>
      </c>
      <c r="O180" t="s">
        <v>127</v>
      </c>
      <c r="P180" t="s">
        <v>127</v>
      </c>
      <c r="Q180" t="s">
        <v>127</v>
      </c>
      <c r="R180" t="s">
        <v>127</v>
      </c>
      <c r="S180" t="s">
        <v>127</v>
      </c>
      <c r="T180" t="s">
        <v>127</v>
      </c>
    </row>
    <row r="181" spans="1:20">
      <c r="A181" t="s">
        <v>127</v>
      </c>
      <c r="B181" t="s">
        <v>127</v>
      </c>
      <c r="C181" t="s">
        <v>127</v>
      </c>
      <c r="D181" t="s">
        <v>127</v>
      </c>
      <c r="E181" t="s">
        <v>127</v>
      </c>
      <c r="F181" t="s">
        <v>127</v>
      </c>
      <c r="G181" t="s">
        <v>127</v>
      </c>
      <c r="H181" t="s">
        <v>127</v>
      </c>
      <c r="I181" t="s">
        <v>127</v>
      </c>
      <c r="J181" t="s">
        <v>127</v>
      </c>
      <c r="K181" t="s">
        <v>127</v>
      </c>
      <c r="L181" t="s">
        <v>127</v>
      </c>
      <c r="M181" t="s">
        <v>127</v>
      </c>
      <c r="N181" t="s">
        <v>127</v>
      </c>
      <c r="O181" t="s">
        <v>127</v>
      </c>
      <c r="P181" t="s">
        <v>127</v>
      </c>
      <c r="Q181" t="s">
        <v>127</v>
      </c>
      <c r="R181" t="s">
        <v>127</v>
      </c>
      <c r="S181" t="s">
        <v>127</v>
      </c>
      <c r="T181" t="s">
        <v>127</v>
      </c>
    </row>
    <row r="182" spans="1:20">
      <c r="A182" t="s">
        <v>127</v>
      </c>
      <c r="B182" t="s">
        <v>127</v>
      </c>
      <c r="C182" t="s">
        <v>127</v>
      </c>
      <c r="D182" t="s">
        <v>127</v>
      </c>
      <c r="E182" t="s">
        <v>127</v>
      </c>
      <c r="F182" t="s">
        <v>127</v>
      </c>
      <c r="G182" t="s">
        <v>127</v>
      </c>
      <c r="H182" t="s">
        <v>127</v>
      </c>
      <c r="I182" t="s">
        <v>127</v>
      </c>
      <c r="J182" t="s">
        <v>127</v>
      </c>
      <c r="K182" t="s">
        <v>127</v>
      </c>
      <c r="L182" t="s">
        <v>127</v>
      </c>
      <c r="M182" t="s">
        <v>127</v>
      </c>
      <c r="N182" t="s">
        <v>127</v>
      </c>
      <c r="O182" t="s">
        <v>127</v>
      </c>
      <c r="P182" t="s">
        <v>127</v>
      </c>
      <c r="Q182" t="s">
        <v>127</v>
      </c>
      <c r="R182" t="s">
        <v>127</v>
      </c>
      <c r="S182" t="s">
        <v>127</v>
      </c>
      <c r="T182" t="s">
        <v>127</v>
      </c>
    </row>
    <row r="183" spans="1:20">
      <c r="A183" t="s">
        <v>127</v>
      </c>
      <c r="B183" t="s">
        <v>127</v>
      </c>
      <c r="C183" t="s">
        <v>127</v>
      </c>
      <c r="D183" t="s">
        <v>127</v>
      </c>
      <c r="E183" t="s">
        <v>127</v>
      </c>
      <c r="F183" t="s">
        <v>127</v>
      </c>
      <c r="G183" t="s">
        <v>127</v>
      </c>
      <c r="H183" t="s">
        <v>127</v>
      </c>
      <c r="I183" t="s">
        <v>127</v>
      </c>
      <c r="J183" t="s">
        <v>127</v>
      </c>
      <c r="K183" t="s">
        <v>127</v>
      </c>
      <c r="L183" t="s">
        <v>127</v>
      </c>
      <c r="M183" t="s">
        <v>127</v>
      </c>
      <c r="N183" t="s">
        <v>127</v>
      </c>
      <c r="O183" t="s">
        <v>127</v>
      </c>
      <c r="P183" t="s">
        <v>127</v>
      </c>
      <c r="Q183" t="s">
        <v>127</v>
      </c>
      <c r="R183" t="s">
        <v>127</v>
      </c>
      <c r="S183" t="s">
        <v>127</v>
      </c>
      <c r="T183" t="s">
        <v>127</v>
      </c>
    </row>
    <row r="184" spans="1:20">
      <c r="A184" t="s">
        <v>127</v>
      </c>
      <c r="B184" t="s">
        <v>127</v>
      </c>
      <c r="C184" t="s">
        <v>127</v>
      </c>
      <c r="D184" t="s">
        <v>127</v>
      </c>
      <c r="E184" t="s">
        <v>127</v>
      </c>
      <c r="F184" t="s">
        <v>127</v>
      </c>
      <c r="G184" t="s">
        <v>127</v>
      </c>
      <c r="H184" t="s">
        <v>127</v>
      </c>
      <c r="I184" t="s">
        <v>127</v>
      </c>
      <c r="J184" t="s">
        <v>127</v>
      </c>
      <c r="K184" t="s">
        <v>127</v>
      </c>
      <c r="L184" t="s">
        <v>127</v>
      </c>
      <c r="M184" t="s">
        <v>127</v>
      </c>
      <c r="N184" t="s">
        <v>127</v>
      </c>
      <c r="O184" t="s">
        <v>127</v>
      </c>
      <c r="P184" t="s">
        <v>127</v>
      </c>
      <c r="Q184" t="s">
        <v>127</v>
      </c>
      <c r="R184" t="s">
        <v>127</v>
      </c>
      <c r="S184" t="s">
        <v>127</v>
      </c>
      <c r="T184" t="s">
        <v>127</v>
      </c>
    </row>
    <row r="185" spans="1:20">
      <c r="A185" t="s">
        <v>127</v>
      </c>
      <c r="B185" t="s">
        <v>127</v>
      </c>
      <c r="C185" t="s">
        <v>127</v>
      </c>
      <c r="D185" t="s">
        <v>127</v>
      </c>
      <c r="E185" t="s">
        <v>127</v>
      </c>
      <c r="F185" t="s">
        <v>127</v>
      </c>
      <c r="G185" t="s">
        <v>127</v>
      </c>
      <c r="H185" t="s">
        <v>127</v>
      </c>
      <c r="I185" t="s">
        <v>127</v>
      </c>
      <c r="J185" t="s">
        <v>127</v>
      </c>
      <c r="K185" t="s">
        <v>127</v>
      </c>
      <c r="L185" t="s">
        <v>127</v>
      </c>
      <c r="M185" t="s">
        <v>127</v>
      </c>
      <c r="N185" t="s">
        <v>127</v>
      </c>
      <c r="O185" t="s">
        <v>127</v>
      </c>
      <c r="P185" t="s">
        <v>127</v>
      </c>
      <c r="Q185" t="s">
        <v>127</v>
      </c>
      <c r="R185" t="s">
        <v>127</v>
      </c>
      <c r="S185" t="s">
        <v>127</v>
      </c>
      <c r="T185" t="s">
        <v>127</v>
      </c>
    </row>
    <row r="186" spans="1:20">
      <c r="A186" t="s">
        <v>127</v>
      </c>
      <c r="B186" t="s">
        <v>127</v>
      </c>
      <c r="C186" t="s">
        <v>127</v>
      </c>
      <c r="D186" t="s">
        <v>127</v>
      </c>
      <c r="E186" t="s">
        <v>127</v>
      </c>
      <c r="F186" t="s">
        <v>127</v>
      </c>
      <c r="G186" t="s">
        <v>127</v>
      </c>
      <c r="H186" t="s">
        <v>127</v>
      </c>
      <c r="I186" t="s">
        <v>127</v>
      </c>
      <c r="J186" t="s">
        <v>127</v>
      </c>
      <c r="K186" t="s">
        <v>127</v>
      </c>
      <c r="L186" t="s">
        <v>127</v>
      </c>
      <c r="M186" t="s">
        <v>127</v>
      </c>
      <c r="N186" t="s">
        <v>127</v>
      </c>
      <c r="O186" t="s">
        <v>127</v>
      </c>
      <c r="P186" t="s">
        <v>127</v>
      </c>
      <c r="Q186" t="s">
        <v>127</v>
      </c>
      <c r="R186" t="s">
        <v>127</v>
      </c>
      <c r="S186" t="s">
        <v>127</v>
      </c>
      <c r="T186" t="s">
        <v>127</v>
      </c>
    </row>
    <row r="187" spans="1:20">
      <c r="A187" t="s">
        <v>127</v>
      </c>
      <c r="B187" t="s">
        <v>127</v>
      </c>
      <c r="C187" t="s">
        <v>127</v>
      </c>
      <c r="D187" t="s">
        <v>127</v>
      </c>
      <c r="E187" t="s">
        <v>127</v>
      </c>
      <c r="F187" t="s">
        <v>127</v>
      </c>
      <c r="G187" t="s">
        <v>127</v>
      </c>
      <c r="H187" t="s">
        <v>127</v>
      </c>
      <c r="I187" t="s">
        <v>127</v>
      </c>
      <c r="J187" t="s">
        <v>127</v>
      </c>
      <c r="K187" t="s">
        <v>127</v>
      </c>
      <c r="L187" t="s">
        <v>127</v>
      </c>
      <c r="M187" t="s">
        <v>127</v>
      </c>
      <c r="N187" t="s">
        <v>127</v>
      </c>
      <c r="O187" t="s">
        <v>127</v>
      </c>
      <c r="P187" t="s">
        <v>127</v>
      </c>
      <c r="Q187" t="s">
        <v>127</v>
      </c>
      <c r="R187" t="s">
        <v>127</v>
      </c>
      <c r="S187" t="s">
        <v>127</v>
      </c>
      <c r="T187" t="s">
        <v>127</v>
      </c>
    </row>
    <row r="188" spans="1:20">
      <c r="A188" t="s">
        <v>127</v>
      </c>
      <c r="B188" t="s">
        <v>127</v>
      </c>
      <c r="C188" t="s">
        <v>127</v>
      </c>
      <c r="D188" t="s">
        <v>127</v>
      </c>
      <c r="E188" t="s">
        <v>127</v>
      </c>
      <c r="F188" t="s">
        <v>127</v>
      </c>
      <c r="G188" t="s">
        <v>127</v>
      </c>
      <c r="H188" t="s">
        <v>127</v>
      </c>
      <c r="I188" t="s">
        <v>127</v>
      </c>
      <c r="J188" t="s">
        <v>127</v>
      </c>
      <c r="K188" t="s">
        <v>127</v>
      </c>
      <c r="L188" t="s">
        <v>127</v>
      </c>
      <c r="M188" t="s">
        <v>127</v>
      </c>
      <c r="N188" t="s">
        <v>127</v>
      </c>
      <c r="O188" t="s">
        <v>127</v>
      </c>
      <c r="P188" t="s">
        <v>127</v>
      </c>
      <c r="Q188" t="s">
        <v>127</v>
      </c>
      <c r="R188" t="s">
        <v>127</v>
      </c>
      <c r="S188" t="s">
        <v>127</v>
      </c>
      <c r="T188" t="s">
        <v>127</v>
      </c>
    </row>
    <row r="189" spans="1:20">
      <c r="A189" t="s">
        <v>127</v>
      </c>
      <c r="B189" t="s">
        <v>127</v>
      </c>
      <c r="C189" t="s">
        <v>127</v>
      </c>
      <c r="D189" t="s">
        <v>127</v>
      </c>
      <c r="E189" t="s">
        <v>127</v>
      </c>
      <c r="F189" t="s">
        <v>127</v>
      </c>
      <c r="G189" t="s">
        <v>127</v>
      </c>
      <c r="H189" t="s">
        <v>127</v>
      </c>
      <c r="I189" t="s">
        <v>127</v>
      </c>
      <c r="J189" t="s">
        <v>127</v>
      </c>
      <c r="K189" t="s">
        <v>127</v>
      </c>
      <c r="L189" t="s">
        <v>127</v>
      </c>
      <c r="M189" t="s">
        <v>127</v>
      </c>
      <c r="N189" t="s">
        <v>127</v>
      </c>
      <c r="O189" t="s">
        <v>127</v>
      </c>
      <c r="P189" t="s">
        <v>127</v>
      </c>
      <c r="Q189" t="s">
        <v>127</v>
      </c>
      <c r="R189" t="s">
        <v>127</v>
      </c>
      <c r="S189" t="s">
        <v>127</v>
      </c>
      <c r="T189" t="s">
        <v>127</v>
      </c>
    </row>
    <row r="190" spans="1:20">
      <c r="A190" t="s">
        <v>127</v>
      </c>
      <c r="B190" t="s">
        <v>127</v>
      </c>
      <c r="C190" t="s">
        <v>127</v>
      </c>
      <c r="D190" t="s">
        <v>127</v>
      </c>
      <c r="E190" t="s">
        <v>127</v>
      </c>
      <c r="F190" t="s">
        <v>127</v>
      </c>
      <c r="G190" t="s">
        <v>127</v>
      </c>
      <c r="H190" t="s">
        <v>127</v>
      </c>
      <c r="I190" t="s">
        <v>127</v>
      </c>
      <c r="J190" t="s">
        <v>127</v>
      </c>
      <c r="K190" t="s">
        <v>127</v>
      </c>
      <c r="L190" t="s">
        <v>127</v>
      </c>
      <c r="M190" t="s">
        <v>127</v>
      </c>
      <c r="N190" t="s">
        <v>127</v>
      </c>
      <c r="O190" t="s">
        <v>127</v>
      </c>
      <c r="P190" t="s">
        <v>127</v>
      </c>
      <c r="Q190" t="s">
        <v>127</v>
      </c>
      <c r="R190" t="s">
        <v>127</v>
      </c>
      <c r="S190" t="s">
        <v>127</v>
      </c>
      <c r="T190" t="s">
        <v>127</v>
      </c>
    </row>
    <row r="191" spans="1:20">
      <c r="A191" t="s">
        <v>127</v>
      </c>
      <c r="B191" t="s">
        <v>127</v>
      </c>
      <c r="C191" t="s">
        <v>127</v>
      </c>
      <c r="D191" t="s">
        <v>127</v>
      </c>
      <c r="E191" t="s">
        <v>127</v>
      </c>
      <c r="F191" t="s">
        <v>127</v>
      </c>
      <c r="G191" t="s">
        <v>127</v>
      </c>
      <c r="H191" t="s">
        <v>127</v>
      </c>
      <c r="I191" t="s">
        <v>127</v>
      </c>
      <c r="J191" t="s">
        <v>127</v>
      </c>
      <c r="K191" t="s">
        <v>127</v>
      </c>
      <c r="L191" t="s">
        <v>127</v>
      </c>
      <c r="M191" t="s">
        <v>127</v>
      </c>
      <c r="N191" t="s">
        <v>127</v>
      </c>
      <c r="O191" t="s">
        <v>127</v>
      </c>
      <c r="P191" t="s">
        <v>127</v>
      </c>
      <c r="Q191" t="s">
        <v>127</v>
      </c>
      <c r="R191" t="s">
        <v>127</v>
      </c>
      <c r="S191" t="s">
        <v>127</v>
      </c>
      <c r="T191" t="s">
        <v>127</v>
      </c>
    </row>
    <row r="192" spans="1:20">
      <c r="A192" t="s">
        <v>127</v>
      </c>
      <c r="B192" t="s">
        <v>127</v>
      </c>
      <c r="C192" t="s">
        <v>127</v>
      </c>
      <c r="D192" t="s">
        <v>127</v>
      </c>
      <c r="E192" t="s">
        <v>127</v>
      </c>
      <c r="F192" t="s">
        <v>127</v>
      </c>
      <c r="G192" t="s">
        <v>127</v>
      </c>
      <c r="H192" t="s">
        <v>127</v>
      </c>
      <c r="I192" t="s">
        <v>127</v>
      </c>
      <c r="J192" t="s">
        <v>127</v>
      </c>
      <c r="K192" t="s">
        <v>127</v>
      </c>
      <c r="L192" t="s">
        <v>127</v>
      </c>
      <c r="M192" t="s">
        <v>127</v>
      </c>
      <c r="N192" t="s">
        <v>127</v>
      </c>
      <c r="O192" t="s">
        <v>127</v>
      </c>
      <c r="P192" t="s">
        <v>127</v>
      </c>
      <c r="Q192" t="s">
        <v>127</v>
      </c>
      <c r="R192" t="s">
        <v>127</v>
      </c>
      <c r="S192" t="s">
        <v>127</v>
      </c>
      <c r="T192" t="s">
        <v>127</v>
      </c>
    </row>
    <row r="193" spans="1:20">
      <c r="A193" t="s">
        <v>127</v>
      </c>
      <c r="B193" t="s">
        <v>127</v>
      </c>
      <c r="C193" t="s">
        <v>127</v>
      </c>
      <c r="D193" t="s">
        <v>127</v>
      </c>
      <c r="E193" t="s">
        <v>127</v>
      </c>
      <c r="F193" t="s">
        <v>127</v>
      </c>
      <c r="G193" t="s">
        <v>127</v>
      </c>
      <c r="H193" t="s">
        <v>127</v>
      </c>
      <c r="I193" t="s">
        <v>127</v>
      </c>
      <c r="J193" t="s">
        <v>127</v>
      </c>
      <c r="K193" t="s">
        <v>127</v>
      </c>
      <c r="L193" t="s">
        <v>127</v>
      </c>
      <c r="M193" t="s">
        <v>127</v>
      </c>
      <c r="N193" t="s">
        <v>127</v>
      </c>
      <c r="O193" t="s">
        <v>127</v>
      </c>
      <c r="P193" t="s">
        <v>127</v>
      </c>
      <c r="Q193" t="s">
        <v>127</v>
      </c>
      <c r="R193" t="s">
        <v>127</v>
      </c>
      <c r="S193" t="s">
        <v>127</v>
      </c>
      <c r="T193" t="s">
        <v>127</v>
      </c>
    </row>
  </sheetData>
  <sortState ref="AT102:AT193">
    <sortCondition ref="AT102"/>
  </sortState>
  <mergeCells count="70">
    <mergeCell ref="AS1:AT1"/>
    <mergeCell ref="A1:D1"/>
    <mergeCell ref="E1:H1"/>
    <mergeCell ref="I1:L1"/>
    <mergeCell ref="M1:P1"/>
    <mergeCell ref="Q1:T1"/>
    <mergeCell ref="U1:X1"/>
    <mergeCell ref="Y1:AB1"/>
    <mergeCell ref="AC1:AF1"/>
    <mergeCell ref="AG1:AJ1"/>
    <mergeCell ref="AK1:AN1"/>
    <mergeCell ref="AO1:AR1"/>
    <mergeCell ref="U2:V2"/>
    <mergeCell ref="W2:X2"/>
    <mergeCell ref="A2:B2"/>
    <mergeCell ref="C2:D2"/>
    <mergeCell ref="E2:F2"/>
    <mergeCell ref="G2:H2"/>
    <mergeCell ref="I2:J2"/>
    <mergeCell ref="K2:L2"/>
    <mergeCell ref="AS2:AT2"/>
    <mergeCell ref="A97:D97"/>
    <mergeCell ref="E97:H97"/>
    <mergeCell ref="I97:L97"/>
    <mergeCell ref="M97:P97"/>
    <mergeCell ref="Q97:T97"/>
    <mergeCell ref="Y2:Z2"/>
    <mergeCell ref="AA2:AB2"/>
    <mergeCell ref="AC2:AD2"/>
    <mergeCell ref="AE2:AF2"/>
    <mergeCell ref="AG2:AH2"/>
    <mergeCell ref="AI2:AJ2"/>
    <mergeCell ref="M2:N2"/>
    <mergeCell ref="O2:P2"/>
    <mergeCell ref="Q2:R2"/>
    <mergeCell ref="S2:T2"/>
    <mergeCell ref="AO97:AR97"/>
    <mergeCell ref="AK2:AL2"/>
    <mergeCell ref="AM2:AN2"/>
    <mergeCell ref="AO2:AP2"/>
    <mergeCell ref="AQ2:AR2"/>
    <mergeCell ref="AC98:AD98"/>
    <mergeCell ref="AS97:AT97"/>
    <mergeCell ref="A98:B98"/>
    <mergeCell ref="C98:D98"/>
    <mergeCell ref="E98:F98"/>
    <mergeCell ref="G98:H98"/>
    <mergeCell ref="I98:J98"/>
    <mergeCell ref="K98:L98"/>
    <mergeCell ref="M98:N98"/>
    <mergeCell ref="O98:P98"/>
    <mergeCell ref="Q98:R98"/>
    <mergeCell ref="U97:X97"/>
    <mergeCell ref="Y97:AB97"/>
    <mergeCell ref="AC97:AF97"/>
    <mergeCell ref="AG97:AJ97"/>
    <mergeCell ref="AK97:AN97"/>
    <mergeCell ref="S98:T98"/>
    <mergeCell ref="U98:V98"/>
    <mergeCell ref="W98:X98"/>
    <mergeCell ref="Y98:Z98"/>
    <mergeCell ref="AA98:AB98"/>
    <mergeCell ref="AQ98:AR98"/>
    <mergeCell ref="AS98:AT98"/>
    <mergeCell ref="AE98:AF98"/>
    <mergeCell ref="AG98:AH98"/>
    <mergeCell ref="AI98:AJ98"/>
    <mergeCell ref="AK98:AL98"/>
    <mergeCell ref="AM98:AN98"/>
    <mergeCell ref="AO98:AP9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W98"/>
  <sheetViews>
    <sheetView rightToLeft="1" topLeftCell="AE73" workbookViewId="0">
      <selection activeCell="G91" sqref="G91"/>
    </sheetView>
  </sheetViews>
  <sheetFormatPr defaultRowHeight="15"/>
  <cols>
    <col min="1" max="45" width="9" style="88"/>
    <col min="46" max="46" width="9" style="109"/>
    <col min="47" max="47" width="24.85546875" bestFit="1" customWidth="1"/>
    <col min="48" max="48" width="24.85546875" customWidth="1"/>
  </cols>
  <sheetData>
    <row r="1" spans="1:49" ht="15.75" thickBot="1">
      <c r="A1" s="355" t="s">
        <v>122</v>
      </c>
      <c r="B1" s="356"/>
      <c r="C1" s="356"/>
      <c r="D1" s="357"/>
      <c r="E1" s="355" t="s">
        <v>121</v>
      </c>
      <c r="F1" s="356"/>
      <c r="G1" s="356"/>
      <c r="H1" s="357"/>
      <c r="I1" s="355" t="s">
        <v>120</v>
      </c>
      <c r="J1" s="356"/>
      <c r="K1" s="356"/>
      <c r="L1" s="357"/>
      <c r="M1" s="355" t="s">
        <v>119</v>
      </c>
      <c r="N1" s="356"/>
      <c r="O1" s="356"/>
      <c r="P1" s="357"/>
      <c r="Q1" s="355" t="s">
        <v>118</v>
      </c>
      <c r="R1" s="356"/>
      <c r="S1" s="356"/>
      <c r="T1" s="357"/>
      <c r="U1" s="355" t="s">
        <v>117</v>
      </c>
      <c r="V1" s="356"/>
      <c r="W1" s="356"/>
      <c r="X1" s="357"/>
      <c r="Y1" s="355" t="s">
        <v>116</v>
      </c>
      <c r="Z1" s="356"/>
      <c r="AA1" s="356"/>
      <c r="AB1" s="357"/>
      <c r="AC1" s="355" t="s">
        <v>115</v>
      </c>
      <c r="AD1" s="356"/>
      <c r="AE1" s="356"/>
      <c r="AF1" s="357"/>
      <c r="AG1" s="355" t="s">
        <v>114</v>
      </c>
      <c r="AH1" s="356"/>
      <c r="AI1" s="356"/>
      <c r="AJ1" s="357"/>
      <c r="AK1" s="355" t="s">
        <v>113</v>
      </c>
      <c r="AL1" s="356"/>
      <c r="AM1" s="356"/>
      <c r="AN1" s="357"/>
      <c r="AO1" s="355" t="s">
        <v>112</v>
      </c>
      <c r="AP1" s="356"/>
      <c r="AQ1" s="356"/>
      <c r="AR1" s="357"/>
      <c r="AS1" s="354" t="s">
        <v>110</v>
      </c>
      <c r="AT1" s="354"/>
      <c r="AU1" s="89"/>
      <c r="AV1" s="91"/>
    </row>
    <row r="2" spans="1:49" ht="15.75" thickBot="1">
      <c r="A2" s="351" t="s">
        <v>111</v>
      </c>
      <c r="B2" s="352"/>
      <c r="C2" s="351" t="s">
        <v>126</v>
      </c>
      <c r="D2" s="353"/>
      <c r="E2" s="351" t="s">
        <v>111</v>
      </c>
      <c r="F2" s="352"/>
      <c r="G2" s="351" t="s">
        <v>126</v>
      </c>
      <c r="H2" s="353"/>
      <c r="I2" s="351" t="s">
        <v>111</v>
      </c>
      <c r="J2" s="352"/>
      <c r="K2" s="351" t="s">
        <v>126</v>
      </c>
      <c r="L2" s="353"/>
      <c r="M2" s="351" t="s">
        <v>111</v>
      </c>
      <c r="N2" s="352"/>
      <c r="O2" s="351" t="s">
        <v>126</v>
      </c>
      <c r="P2" s="353"/>
      <c r="Q2" s="351" t="s">
        <v>111</v>
      </c>
      <c r="R2" s="352"/>
      <c r="S2" s="351" t="s">
        <v>126</v>
      </c>
      <c r="T2" s="353"/>
      <c r="U2" s="351" t="s">
        <v>111</v>
      </c>
      <c r="V2" s="352"/>
      <c r="W2" s="351" t="s">
        <v>126</v>
      </c>
      <c r="X2" s="353"/>
      <c r="Y2" s="351" t="s">
        <v>111</v>
      </c>
      <c r="Z2" s="352"/>
      <c r="AA2" s="351" t="s">
        <v>126</v>
      </c>
      <c r="AB2" s="353"/>
      <c r="AC2" s="351" t="s">
        <v>111</v>
      </c>
      <c r="AD2" s="352"/>
      <c r="AE2" s="351" t="s">
        <v>126</v>
      </c>
      <c r="AF2" s="353"/>
      <c r="AG2" s="351" t="s">
        <v>111</v>
      </c>
      <c r="AH2" s="352"/>
      <c r="AI2" s="351" t="s">
        <v>126</v>
      </c>
      <c r="AJ2" s="353"/>
      <c r="AK2" s="351" t="s">
        <v>111</v>
      </c>
      <c r="AL2" s="352"/>
      <c r="AM2" s="351" t="s">
        <v>126</v>
      </c>
      <c r="AN2" s="353"/>
      <c r="AO2" s="351" t="s">
        <v>111</v>
      </c>
      <c r="AP2" s="352"/>
      <c r="AQ2" s="351" t="s">
        <v>126</v>
      </c>
      <c r="AR2" s="353"/>
      <c r="AS2" s="351" t="s">
        <v>126</v>
      </c>
      <c r="AT2" s="353"/>
      <c r="AU2" s="90"/>
      <c r="AV2" s="91"/>
    </row>
    <row r="3" spans="1:49" ht="15.75" thickBot="1">
      <c r="A3" s="116" t="s">
        <v>83</v>
      </c>
      <c r="B3" s="116" t="s">
        <v>82</v>
      </c>
      <c r="C3" s="116" t="s">
        <v>83</v>
      </c>
      <c r="D3" s="108" t="s">
        <v>82</v>
      </c>
      <c r="E3" s="116" t="s">
        <v>83</v>
      </c>
      <c r="F3" s="116" t="s">
        <v>82</v>
      </c>
      <c r="G3" s="116" t="s">
        <v>83</v>
      </c>
      <c r="H3" s="108" t="s">
        <v>82</v>
      </c>
      <c r="I3" s="116" t="s">
        <v>83</v>
      </c>
      <c r="J3" s="116" t="s">
        <v>82</v>
      </c>
      <c r="K3" s="116" t="s">
        <v>83</v>
      </c>
      <c r="L3" s="108" t="s">
        <v>82</v>
      </c>
      <c r="M3" s="116" t="s">
        <v>83</v>
      </c>
      <c r="N3" s="116" t="s">
        <v>82</v>
      </c>
      <c r="O3" s="116" t="s">
        <v>83</v>
      </c>
      <c r="P3" s="108" t="s">
        <v>82</v>
      </c>
      <c r="Q3" s="116" t="s">
        <v>83</v>
      </c>
      <c r="R3" s="116" t="s">
        <v>82</v>
      </c>
      <c r="S3" s="116" t="s">
        <v>83</v>
      </c>
      <c r="T3" s="108" t="s">
        <v>82</v>
      </c>
      <c r="U3" s="116" t="s">
        <v>83</v>
      </c>
      <c r="V3" s="116" t="s">
        <v>82</v>
      </c>
      <c r="W3" s="116" t="s">
        <v>83</v>
      </c>
      <c r="X3" s="108" t="s">
        <v>82</v>
      </c>
      <c r="Y3" s="116" t="s">
        <v>83</v>
      </c>
      <c r="Z3" s="116" t="s">
        <v>82</v>
      </c>
      <c r="AA3" s="116" t="s">
        <v>83</v>
      </c>
      <c r="AB3" s="108" t="s">
        <v>82</v>
      </c>
      <c r="AC3" s="116" t="s">
        <v>83</v>
      </c>
      <c r="AD3" s="116" t="s">
        <v>82</v>
      </c>
      <c r="AE3" s="116" t="s">
        <v>83</v>
      </c>
      <c r="AF3" s="108" t="s">
        <v>82</v>
      </c>
      <c r="AG3" s="116" t="s">
        <v>83</v>
      </c>
      <c r="AH3" s="116" t="s">
        <v>82</v>
      </c>
      <c r="AI3" s="116" t="s">
        <v>83</v>
      </c>
      <c r="AJ3" s="108" t="s">
        <v>82</v>
      </c>
      <c r="AK3" s="116" t="s">
        <v>83</v>
      </c>
      <c r="AL3" s="116" t="s">
        <v>82</v>
      </c>
      <c r="AM3" s="116" t="s">
        <v>83</v>
      </c>
      <c r="AN3" s="108" t="s">
        <v>82</v>
      </c>
      <c r="AO3" s="116" t="s">
        <v>83</v>
      </c>
      <c r="AP3" s="116" t="s">
        <v>82</v>
      </c>
      <c r="AQ3" s="116" t="s">
        <v>83</v>
      </c>
      <c r="AR3" s="108" t="s">
        <v>82</v>
      </c>
      <c r="AS3" s="116" t="s">
        <v>83</v>
      </c>
      <c r="AT3" s="108" t="s">
        <v>82</v>
      </c>
      <c r="AU3" s="117"/>
      <c r="AV3" s="94"/>
    </row>
    <row r="4" spans="1:49">
      <c r="A4" s="110" t="str">
        <f>IF(AND(ABS(Dec!K5)&gt;קריטריונים!$B$2,Dec!B5&gt;קריטריונים!$B$3),Dec!K5,"")</f>
        <v/>
      </c>
      <c r="B4" s="111" t="str">
        <f>IF(AND(ABS(Dec!J5)&gt;קריטריונים!$B$2,Dec!B5&gt;קריטריונים!$B$3),Dec!J5,"")</f>
        <v/>
      </c>
      <c r="C4" s="111" t="str">
        <f>IF(AND(ABS(Dec!F5)&gt;קריטריונים!$B$1,Dec!B5&gt;קריטריונים!$B$3),Dec!F5,"")</f>
        <v/>
      </c>
      <c r="D4" s="111" t="str">
        <f>IF(AND(ABS(Dec!E5)&gt;קריטריונים!$B$1,Dec!B5&gt;קריטריונים!$B$3),Dec!E5,"")</f>
        <v/>
      </c>
      <c r="E4" s="111">
        <f>IF(AND(ABS(Nov!K5)&gt;קריטריונים!$B$2,Nov!B5&gt;קריטריונים!$B$3),Nov!K5,"")</f>
        <v>0.2765388385759977</v>
      </c>
      <c r="F4" s="111">
        <f>IF(AND(ABS(Nov!J5)&gt;קריטריונים!$B$2,Nov!B5&gt;קריטריונים!$B$3),Nov!J5,"")</f>
        <v>0.25235766632221424</v>
      </c>
      <c r="G4" s="111">
        <f>IF(AND(ABS(Nov!F5)&gt;קריטריונים!$B$1,Nov!B5&gt;קריטריונים!$B$3),Nov!F5,"")</f>
        <v>0.70186923485221642</v>
      </c>
      <c r="H4" s="111">
        <f>IF(AND(ABS(Nov!E5)&gt;קריטריונים!$B$1,Nov!B5&gt;קריטריונים!$B$3),Nov!E5,"")</f>
        <v>0.2365625021715414</v>
      </c>
      <c r="I4" s="111">
        <f>IF(AND(ABS(Oct!K5)&gt;קריטריונים!$B$2,Oct!B5&gt;קריטריונים!$B$3),Oct!K5,"")</f>
        <v>0.23937173965003433</v>
      </c>
      <c r="J4" s="111">
        <f>IF(AND(ABS(Oct!J5)&gt;קריטריונים!$B$2,Oct!B5&gt;קריטריונים!$B$3),Oct!J5,"")</f>
        <v>0.25428013581409603</v>
      </c>
      <c r="K4" s="111">
        <f>IF(AND(ABS(Oct!F5)&gt;קריטריונים!$B$1,Oct!B5&gt;קריטריונים!$B$3),Oct!F5,"")</f>
        <v>0.47195382538844188</v>
      </c>
      <c r="L4" s="111">
        <f>IF(AND(ABS(Oct!E5)&gt;קריטריונים!$B$1,Oct!B5&gt;קריטריונים!$B$3),Oct!E5,"")</f>
        <v>0.56822361162191992</v>
      </c>
      <c r="M4" s="111">
        <f>IF(AND(ABS(Sep!K5)&gt;קריטריונים!$B$2,Sep!B5&gt;קריטריונים!$B$3),Sep!K5,"")</f>
        <v>0.20734122031980573</v>
      </c>
      <c r="N4" s="111">
        <f>IF(AND(ABS(Sep!J5)&gt;קריטריונים!$B$2,Sep!B5&gt;קריטריונים!$B$3),Sep!J5,"")</f>
        <v>0.21349214426775975</v>
      </c>
      <c r="O4" s="111">
        <f>IF(AND(ABS(Sep!F5)&gt;קריטריונים!$B$1,Sep!B5&gt;קריטריונים!$B$3),Sep!F5,"")</f>
        <v>0.2404129662126655</v>
      </c>
      <c r="P4" s="111">
        <f>IF(AND(ABS(Sep!E5)&gt;קריטריונים!$B$1,Sep!B5&gt;קריטריונים!$B$3),Sep!E5,"")</f>
        <v>4.9367365240130079E-2</v>
      </c>
      <c r="Q4" s="111">
        <f>IF(AND(ABS(Aug!K5)&gt;קריטריונים!$B$2,Aug!B5&gt;קריטריונים!$B$3),Aug!K5,"")</f>
        <v>0.2033893524178223</v>
      </c>
      <c r="R4" s="111">
        <f>IF(AND(ABS(Aug!J5)&gt;קריטריונים!$B$2,Aug!B5&gt;קריטריונים!$B$3),Aug!J5,"")</f>
        <v>0.23732834264982339</v>
      </c>
      <c r="S4" s="111">
        <f>IF(AND(ABS(Aug!F5)&gt;קריטריונים!$B$1,Aug!B5&gt;קריטריונים!$B$3),Aug!F5,"")</f>
        <v>8.9859752484175992E-2</v>
      </c>
      <c r="T4" s="111">
        <f>IF(AND(ABS(Aug!E5)&gt;קריטריונים!$B$1,Aug!B5&gt;קריטריונים!$B$3),Aug!E5,"")</f>
        <v>0.19606965291359368</v>
      </c>
      <c r="U4" s="111">
        <f>IF(AND(ABS(Jul!K5)&gt;קריטריונים!$B$2,Jul!B5&gt;קריטריונים!$B$3),Jul!K5,"")</f>
        <v>6.8313408123610087E-2</v>
      </c>
      <c r="V4" s="111">
        <f>IF(AND(ABS(Jul!J5)&gt;קריטריונים!$B$2,Jul!B5&gt;קריטריונים!$B$3),Jul!J5,"")</f>
        <v>0.24274862092235683</v>
      </c>
      <c r="W4" s="111">
        <f>IF(AND(ABS(Jul!F5)&gt;קריטריונים!$B$1,Jul!B5&gt;קריטריונים!$B$3),Jul!F5,"")</f>
        <v>0.10663450038166822</v>
      </c>
      <c r="X4" s="111">
        <f>IF(AND(ABS(Jul!E5)&gt;קריטריונים!$B$1,Jul!B5&gt;קריטריונים!$B$3),Jul!E5,"")</f>
        <v>0.16844382763406274</v>
      </c>
      <c r="Y4" s="111">
        <f>IF(AND(ABS(Jun!K5)&gt;קריטריונים!$B$2,Jun!B5&gt;קריטריונים!$B$3),Jun!K5,"")</f>
        <v>0.13257345712796553</v>
      </c>
      <c r="Z4" s="111">
        <f>IF(AND(ABS(Jun!J5)&gt;קריטריונים!$B$2,Jun!B5&gt;קריטריונים!$B$3),Jun!J5,"")</f>
        <v>0.25521258075523878</v>
      </c>
      <c r="AA4" s="111">
        <f>IF(AND(ABS(Jun!F5)&gt;קריטריונים!$B$1,Jun!B5&gt;קריטריונים!$B$3),Jun!F5,"")</f>
        <v>0.27761354927276272</v>
      </c>
      <c r="AB4" s="111">
        <f>IF(AND(ABS(Jun!E5)&gt;קריטריונים!$B$1,Jun!B5&gt;קריטריונים!$B$3),Jun!E5,"")</f>
        <v>0.28395019932120769</v>
      </c>
      <c r="AC4" s="111">
        <f>IF(AND(ABS(May!K5)&gt;קריטריונים!$B$2,May!B5&gt;קריטריונים!$B$3),May!K5,"")</f>
        <v>0.23052188968587695</v>
      </c>
      <c r="AD4" s="111">
        <f>IF(AND(ABS(May!J5)&gt;קריטריונים!$B$2,May!B5&gt;קריטריונים!$B$3),May!J5,"")</f>
        <v>0.24929156239918382</v>
      </c>
      <c r="AE4" s="111">
        <f>IF(AND(ABS(May!F5)&gt;קריטריונים!$B$1,May!B5&gt;קריטריונים!$B$3),May!F5,"")</f>
        <v>0.23226553563943542</v>
      </c>
      <c r="AF4" s="111">
        <f>IF(AND(ABS(May!E5)&gt;קריטריונים!$B$1,May!B5&gt;קריטריונים!$B$3),May!E5,"")</f>
        <v>0.16672496367647871</v>
      </c>
      <c r="AG4" s="111">
        <f>IF(AND(ABS(Apr!K5)&gt;קריטריונים!$B$2,Apr!B5&gt;קריטריונים!$B$3),Apr!K5,"")</f>
        <v>0.22996590664537253</v>
      </c>
      <c r="AH4" s="111">
        <f>IF(AND(ABS(Apr!J5)&gt;קריטריונים!$B$2,Apr!B5&gt;קריטריונים!$B$3),Apr!J5,"")</f>
        <v>0.27818805455046247</v>
      </c>
      <c r="AI4" s="111">
        <f>IF(AND(ABS(Apr!F5)&gt;קריטריונים!$B$1,Apr!B5&gt;קריטריונים!$B$3),Apr!F5,"")</f>
        <v>0.20927107826671132</v>
      </c>
      <c r="AJ4" s="111">
        <f>IF(AND(ABS(Apr!E5)&gt;קריטריונים!$B$1,Apr!B5&gt;קריטריונים!$B$3),Apr!E5,"")</f>
        <v>0.3799862475597322</v>
      </c>
      <c r="AK4" s="111">
        <f>IF(AND(ABS(Mar!K5)&gt;קריטריונים!$B$2,Mar!B5&gt;קריטריונים!$B$3),Mar!K5,"")</f>
        <v>0.24002484426048776</v>
      </c>
      <c r="AL4" s="111">
        <f>IF(AND(ABS(Mar!J5)&gt;קריטריונים!$B$2,Mar!B5&gt;קריטריונים!$B$3),Mar!J5,"")</f>
        <v>0.23500459333865309</v>
      </c>
      <c r="AM4" s="111">
        <f>IF(AND(ABS(Mar!F5)&gt;קריטריונים!$B$1,Mar!B5&gt;קריטריונים!$B$3),Mar!F5,"")</f>
        <v>0.22700414166244398</v>
      </c>
      <c r="AN4" s="111">
        <f>IF(AND(ABS(Mar!E5)&gt;קריטריונים!$B$1,Mar!B5&gt;קריטריונים!$B$3),Mar!E5,"")</f>
        <v>0.21857389423776752</v>
      </c>
      <c r="AO4" s="111">
        <f>IF(AND(ABS(Feb!K5)&gt;קריטריונים!$B$2,Feb!B5&gt;קריטריונים!$B$3),Feb!K5,"")</f>
        <v>0.24877571008814914</v>
      </c>
      <c r="AP4" s="111">
        <f>IF(AND(ABS(Feb!J5)&gt;קריטריונים!$B$2,Feb!B5&gt;קריטריונים!$B$3),Feb!J5,"")</f>
        <v>0.24609979470386523</v>
      </c>
      <c r="AQ4" s="111">
        <f>IF(AND(ABS(Feb!F5)&gt;קריטריונים!$B$1,Feb!B5&gt;קריטריונים!$B$3),Feb!F5,"")</f>
        <v>0.25016709889581068</v>
      </c>
      <c r="AR4" s="111">
        <f>IF(AND(ABS(Feb!E5)&gt;קריטריונים!$B$1,Feb!B5&gt;קריטריונים!$B$3),Feb!E5,"")</f>
        <v>0.22253479884125893</v>
      </c>
      <c r="AS4" s="111">
        <f>IF(AND(ABS(Jan!F5)&gt;קריטריונים!$B$1,Jan!B5&gt;קריטריונים!$B$3),Jan!F5,"")</f>
        <v>0.24722953420522531</v>
      </c>
      <c r="AT4" s="102">
        <f>IF(AND(ABS(Jan!E5)&gt;קריטריונים!$B$1,Jan!B5&gt;קריטריונים!$B$3),Jan!E5,"")</f>
        <v>0.27344096002523832</v>
      </c>
      <c r="AU4" s="118" t="s">
        <v>1</v>
      </c>
      <c r="AV4" s="4"/>
    </row>
    <row r="5" spans="1:49">
      <c r="A5" s="112" t="str">
        <f>IF(AND(ABS(Dec!K6)&gt;קריטריונים!$B$2,Dec!B6&gt;קריטריונים!$B$3),Dec!K6,"")</f>
        <v/>
      </c>
      <c r="B5" s="113" t="str">
        <f>IF(AND(ABS(Dec!J6)&gt;קריטריונים!$B$2,Dec!B6&gt;קריטריונים!$B$3),Dec!J6,"")</f>
        <v/>
      </c>
      <c r="C5" s="113" t="str">
        <f>IF(AND(ABS(Dec!F6)&gt;קריטריונים!$B$1,Dec!B6&gt;קריטריונים!$B$3),Dec!F6,"")</f>
        <v/>
      </c>
      <c r="D5" s="113" t="str">
        <f>IF(AND(ABS(Dec!E6)&gt;קריטריונים!$B$1,Dec!B6&gt;קריטריונים!$B$3),Dec!E6,"")</f>
        <v/>
      </c>
      <c r="E5" s="113">
        <f>IF(AND(ABS(Nov!K6)&gt;קריטריונים!$B$2,Nov!B6&gt;קריטריונים!$B$3),Nov!K6,"")</f>
        <v>0.76044077134986221</v>
      </c>
      <c r="F5" s="113">
        <f>IF(AND(ABS(Nov!J6)&gt;קריטריונים!$B$2,Nov!B6&gt;קריטריונים!$B$3),Nov!J6,"")</f>
        <v>0.44399372365271828</v>
      </c>
      <c r="G5" s="113">
        <f>IF(AND(ABS(Nov!F6)&gt;קריטריונים!$B$1,Nov!B6&gt;קריטריונים!$B$3),Nov!F6,"")</f>
        <v>1.2495265370224948</v>
      </c>
      <c r="H5" s="113">
        <f>IF(AND(ABS(Nov!E6)&gt;קריטריונים!$B$1,Nov!B6&gt;קריטריונים!$B$3),Nov!E6,"")</f>
        <v>0.31479481641468676</v>
      </c>
      <c r="I5" s="113">
        <f>IF(AND(ABS(Oct!K6)&gt;קריטריונים!$B$2,Oct!B6&gt;קריטריונים!$B$3),Oct!K6,"")</f>
        <v>0.70884780680810411</v>
      </c>
      <c r="J5" s="113">
        <f>IF(AND(ABS(Oct!J6)&gt;קריטריונים!$B$2,Oct!B6&gt;קריטריונים!$B$3),Oct!J6,"")</f>
        <v>0.46397054526328096</v>
      </c>
      <c r="K5" s="113">
        <f>IF(AND(ABS(Oct!F6)&gt;קריטריונים!$B$1,Oct!B6&gt;קריטריונים!$B$3),Oct!F6,"")</f>
        <v>0.90994830511818758</v>
      </c>
      <c r="L5" s="113">
        <f>IF(AND(ABS(Oct!E6)&gt;קריטריונים!$B$1,Oct!B6&gt;קריטריונים!$B$3),Oct!E6,"")</f>
        <v>0.76128093158660803</v>
      </c>
      <c r="M5" s="113">
        <f>IF(AND(ABS(Sep!K6)&gt;קריטריונים!$B$2,Sep!B6&gt;קריטריונים!$B$3),Sep!K6,"")</f>
        <v>0.68051810879172825</v>
      </c>
      <c r="N5" s="113">
        <f>IF(AND(ABS(Sep!J6)&gt;קריטריונים!$B$2,Sep!B6&gt;קריטריונים!$B$3),Sep!J6,"")</f>
        <v>0.42544583494440613</v>
      </c>
      <c r="O5" s="113">
        <f>IF(AND(ABS(Sep!F6)&gt;קריטריונים!$B$1,Sep!B6&gt;קריטריונים!$B$3),Sep!F6,"")</f>
        <v>0.53867937886439798</v>
      </c>
      <c r="P5" s="113">
        <f>IF(AND(ABS(Sep!E6)&gt;קריטריונים!$B$1,Sep!B6&gt;קריטריונים!$B$3),Sep!E6,"")</f>
        <v>9.1030789825970571E-2</v>
      </c>
      <c r="Q5" s="113">
        <f>IF(AND(ABS(Aug!K6)&gt;קריטריונים!$B$2,Aug!B6&gt;קריטריונים!$B$3),Aug!K6,"")</f>
        <v>0.69945430944309295</v>
      </c>
      <c r="R5" s="113">
        <f>IF(AND(ABS(Aug!J6)&gt;קריטריונים!$B$2,Aug!B6&gt;קריטריונים!$B$3),Aug!J6,"")</f>
        <v>0.48029024007376742</v>
      </c>
      <c r="S5" s="113">
        <f>IF(AND(ABS(Aug!F6)&gt;קריטריונים!$B$1,Aug!B6&gt;קריטריונים!$B$3),Aug!F6,"")</f>
        <v>0.5948535817194931</v>
      </c>
      <c r="T5" s="113">
        <f>IF(AND(ABS(Aug!E6)&gt;קריטריונים!$B$1,Aug!B6&gt;קריטריונים!$B$3),Aug!E6,"")</f>
        <v>0.36428776153625653</v>
      </c>
      <c r="U5" s="113">
        <f>IF(AND(ABS(Jul!K6)&gt;קריטריונים!$B$2,Jul!B6&gt;קריטריונים!$B$3),Jul!K6,"")</f>
        <v>0.54948392544329483</v>
      </c>
      <c r="V5" s="113">
        <f>IF(AND(ABS(Jul!J6)&gt;קריטריונים!$B$2,Jul!B6&gt;קריטריונים!$B$3),Jul!J6,"")</f>
        <v>0.49257355128103941</v>
      </c>
      <c r="W5" s="113">
        <f>IF(AND(ABS(Jul!F6)&gt;קריטריונים!$B$1,Jul!B6&gt;קריטריונים!$B$3),Jul!F6,"")</f>
        <v>0.56550078566024542</v>
      </c>
      <c r="X5" s="113">
        <f>IF(AND(ABS(Jul!E6)&gt;קריטריונים!$B$1,Jul!B6&gt;קריטריונים!$B$3),Jul!E6,"")</f>
        <v>0.22623877467292686</v>
      </c>
      <c r="Y5" s="113">
        <f>IF(AND(ABS(Jun!K6)&gt;קריטריונים!$B$2,Jun!B6&gt;קריטריונים!$B$3),Jun!K6,"")</f>
        <v>0.69842488541448522</v>
      </c>
      <c r="Z5" s="113">
        <f>IF(AND(ABS(Jun!J6)&gt;קריטריונים!$B$2,Jun!B6&gt;קריטריונים!$B$3),Jun!J6,"")</f>
        <v>0.5334845811276363</v>
      </c>
      <c r="AA5" s="113">
        <f>IF(AND(ABS(Jun!F6)&gt;קריטריונים!$B$1,Jun!B6&gt;קריטריונים!$B$3),Jun!F6,"")</f>
        <v>0.74698795180722888</v>
      </c>
      <c r="AB5" s="113">
        <f>IF(AND(ABS(Jun!E6)&gt;קריטריונים!$B$1,Jun!B6&gt;קריטריונים!$B$3),Jun!E6,"")</f>
        <v>0.40578177331218068</v>
      </c>
      <c r="AC5" s="113">
        <f>IF(AND(ABS(May!K6)&gt;קריטריונים!$B$2,May!B6&gt;קריטריונים!$B$3),May!K6,"")</f>
        <v>0.72709817966990342</v>
      </c>
      <c r="AD5" s="113">
        <f>IF(AND(ABS(May!J6)&gt;קריטריונים!$B$2,May!B6&gt;קריטריונים!$B$3),May!J6,"")</f>
        <v>0.55760905760905755</v>
      </c>
      <c r="AE5" s="113">
        <f>IF(AND(ABS(May!F6)&gt;קריטריונים!$B$1,May!B6&gt;קריטריונים!$B$3),May!F6,"")</f>
        <v>0.65707016604177859</v>
      </c>
      <c r="AF5" s="113">
        <f>IF(AND(ABS(May!E6)&gt;קריטריונים!$B$1,May!B6&gt;קריטריונים!$B$3),May!E6,"")</f>
        <v>0.39025417778401938</v>
      </c>
      <c r="AG5" s="113">
        <f>IF(AND(ABS(Apr!K6)&gt;קריטריונים!$B$2,Apr!B6&gt;קריטריונים!$B$3),Apr!K6,"")</f>
        <v>0.75375987764465946</v>
      </c>
      <c r="AH5" s="113">
        <f>IF(AND(ABS(Apr!J6)&gt;קריטריונים!$B$2,Apr!B6&gt;קריטריונים!$B$3),Apr!J6,"")</f>
        <v>0.62811335265929125</v>
      </c>
      <c r="AI5" s="113">
        <f>IF(AND(ABS(Apr!F6)&gt;קריטריונים!$B$1,Apr!B6&gt;קריטריונים!$B$3),Apr!F6,"")</f>
        <v>0.48177339901477834</v>
      </c>
      <c r="AJ5" s="113">
        <f>IF(AND(ABS(Apr!E6)&gt;קריטריונים!$B$1,Apr!B6&gt;קריטריונים!$B$3),Apr!E6,"")</f>
        <v>0.53858744578116058</v>
      </c>
      <c r="AK5" s="113">
        <f>IF(AND(ABS(Mar!K6)&gt;קריטריונים!$B$2,Mar!B6&gt;קריטריונים!$B$3),Mar!K6,"")</f>
        <v>0.88377131016294586</v>
      </c>
      <c r="AL5" s="113">
        <f>IF(AND(ABS(Mar!J6)&gt;קריטריונים!$B$2,Mar!B6&gt;קריטריונים!$B$3),Mar!J6,"")</f>
        <v>0.66453051916706896</v>
      </c>
      <c r="AM5" s="113">
        <f>IF(AND(ABS(Mar!F6)&gt;קריטריונים!$B$1,Mar!B6&gt;קריטריונים!$B$3),Mar!F6,"")</f>
        <v>1.1391213389121337</v>
      </c>
      <c r="AN5" s="113">
        <f>IF(AND(ABS(Mar!E6)&gt;קריטריונים!$B$1,Mar!B6&gt;קריטריונים!$B$3),Mar!E6,"")</f>
        <v>0.79244456131124541</v>
      </c>
      <c r="AO5" s="113">
        <f>IF(AND(ABS(Feb!K6)&gt;קריטריונים!$B$2,Feb!B6&gt;קריטריונים!$B$3),Feb!K6,"")</f>
        <v>0.74002649786544938</v>
      </c>
      <c r="AP5" s="113">
        <f>IF(AND(ABS(Feb!J6)&gt;קריטריונים!$B$2,Feb!B6&gt;קריטריונים!$B$3),Feb!J6,"")</f>
        <v>0.58619393971926237</v>
      </c>
      <c r="AQ5" s="113">
        <f>IF(AND(ABS(Feb!F6)&gt;קריטריונים!$B$1,Feb!B6&gt;קריטריונים!$B$3),Feb!F6,"")</f>
        <v>0.70898700738584286</v>
      </c>
      <c r="AR5" s="113">
        <f>IF(AND(ABS(Feb!E6)&gt;קריטריונים!$B$1,Feb!B6&gt;קריטריונים!$B$3),Feb!E6,"")</f>
        <v>0.52242820094131215</v>
      </c>
      <c r="AS5" s="113">
        <f>IF(AND(ABS(Jan!F6)&gt;קריטריונים!$B$1,Jan!B6&gt;קריטריונים!$B$3),Jan!F6,"")</f>
        <v>0.77737415672029053</v>
      </c>
      <c r="AT5" s="103">
        <f>IF(AND(ABS(Jan!E6)&gt;קריטריונים!$B$1,Jan!B6&gt;קריטריונים!$B$3),Jan!E6,"")</f>
        <v>0.6669708584291536</v>
      </c>
      <c r="AU5" s="118" t="s">
        <v>2</v>
      </c>
      <c r="AV5" s="4"/>
    </row>
    <row r="6" spans="1:49">
      <c r="A6" s="112" t="str">
        <f>IF(AND(ABS(Dec!K7)&gt;קריטריונים!$B$2,Dec!B7&gt;קריטריונים!$B$3),Dec!K7,"")</f>
        <v/>
      </c>
      <c r="B6" s="113" t="str">
        <f>IF(AND(ABS(Dec!J7)&gt;קריטריונים!$B$2,Dec!B7&gt;קריטריונים!$B$3),Dec!J7,"")</f>
        <v/>
      </c>
      <c r="C6" s="113" t="str">
        <f>IF(AND(ABS(Dec!F7)&gt;קריטריונים!$B$1,Dec!B7&gt;קריטריונים!$B$3),Dec!F7,"")</f>
        <v/>
      </c>
      <c r="D6" s="113" t="str">
        <f>IF(AND(ABS(Dec!E7)&gt;קריטריונים!$B$1,Dec!B7&gt;קריטריונים!$B$3),Dec!E7,"")</f>
        <v/>
      </c>
      <c r="E6" s="113" t="str">
        <f>IF(AND(ABS(Nov!K7)&gt;קריטריונים!$B$2,Nov!B7&gt;קריטריונים!$B$3),Nov!K7,"")</f>
        <v/>
      </c>
      <c r="F6" s="113" t="str">
        <f>IF(AND(ABS(Nov!J7)&gt;קריטריונים!$B$2,Nov!B7&gt;קריטריונים!$B$3),Nov!J7,"")</f>
        <v/>
      </c>
      <c r="G6" s="113" t="str">
        <f>IF(AND(ABS(Nov!F7)&gt;קריטריונים!$B$1,Nov!B7&gt;קריטריונים!$B$3),Nov!F7,"")</f>
        <v/>
      </c>
      <c r="H6" s="113" t="str">
        <f>IF(AND(ABS(Nov!E7)&gt;קריטריונים!$B$1,Nov!B7&gt;קריטריונים!$B$3),Nov!E7,"")</f>
        <v/>
      </c>
      <c r="I6" s="113" t="str">
        <f>IF(AND(ABS(Oct!K7)&gt;קריטריונים!$B$2,Oct!B7&gt;קריטריונים!$B$3),Oct!K7,"")</f>
        <v/>
      </c>
      <c r="J6" s="113" t="str">
        <f>IF(AND(ABS(Oct!J7)&gt;קריטריונים!$B$2,Oct!B7&gt;קריטריונים!$B$3),Oct!J7,"")</f>
        <v/>
      </c>
      <c r="K6" s="113" t="str">
        <f>IF(AND(ABS(Oct!F7)&gt;קריטריונים!$B$1,Oct!B7&gt;קריטריונים!$B$3),Oct!F7,"")</f>
        <v/>
      </c>
      <c r="L6" s="113" t="str">
        <f>IF(AND(ABS(Oct!E7)&gt;קריטריונים!$B$1,Oct!B7&gt;קריטריונים!$B$3),Oct!E7,"")</f>
        <v/>
      </c>
      <c r="M6" s="113" t="str">
        <f>IF(AND(ABS(Sep!K7)&gt;קריטריונים!$B$2,Sep!B7&gt;קריטריונים!$B$3),Sep!K7,"")</f>
        <v/>
      </c>
      <c r="N6" s="113" t="str">
        <f>IF(AND(ABS(Sep!J7)&gt;קריטריונים!$B$2,Sep!B7&gt;קריטריונים!$B$3),Sep!J7,"")</f>
        <v/>
      </c>
      <c r="O6" s="113" t="str">
        <f>IF(AND(ABS(Sep!F7)&gt;קריטריונים!$B$1,Sep!B7&gt;קריטריונים!$B$3),Sep!F7,"")</f>
        <v/>
      </c>
      <c r="P6" s="113" t="str">
        <f>IF(AND(ABS(Sep!E7)&gt;קריטריונים!$B$1,Sep!B7&gt;קריטריונים!$B$3),Sep!E7,"")</f>
        <v/>
      </c>
      <c r="Q6" s="113" t="str">
        <f>IF(AND(ABS(Aug!K7)&gt;קריטריונים!$B$2,Aug!B7&gt;קריטריונים!$B$3),Aug!K7,"")</f>
        <v/>
      </c>
      <c r="R6" s="113" t="str">
        <f>IF(AND(ABS(Aug!J7)&gt;קריטריונים!$B$2,Aug!B7&gt;קריטריונים!$B$3),Aug!J7,"")</f>
        <v/>
      </c>
      <c r="S6" s="113" t="str">
        <f>IF(AND(ABS(Aug!F7)&gt;קריטריונים!$B$1,Aug!B7&gt;קריטריונים!$B$3),Aug!F7,"")</f>
        <v/>
      </c>
      <c r="T6" s="113" t="str">
        <f>IF(AND(ABS(Aug!E7)&gt;קריטריונים!$B$1,Aug!B7&gt;קריטריונים!$B$3),Aug!E7,"")</f>
        <v/>
      </c>
      <c r="U6" s="113" t="str">
        <f>IF(AND(ABS(Jul!K7)&gt;קריטריונים!$B$2,Jul!B7&gt;קריטריונים!$B$3),Jul!K7,"")</f>
        <v/>
      </c>
      <c r="V6" s="113" t="str">
        <f>IF(AND(ABS(Jul!J7)&gt;קריטריונים!$B$2,Jul!B7&gt;קריטריונים!$B$3),Jul!J7,"")</f>
        <v/>
      </c>
      <c r="W6" s="113" t="str">
        <f>IF(AND(ABS(Jul!F7)&gt;קריטריונים!$B$1,Jul!B7&gt;קריטריונים!$B$3),Jul!F7,"")</f>
        <v/>
      </c>
      <c r="X6" s="113" t="str">
        <f>IF(AND(ABS(Jul!E7)&gt;קריטריונים!$B$1,Jul!B7&gt;קריטריונים!$B$3),Jul!E7,"")</f>
        <v/>
      </c>
      <c r="Y6" s="113" t="str">
        <f>IF(AND(ABS(Jun!K7)&gt;קריטריונים!$B$2,Jun!B7&gt;קריטריונים!$B$3),Jun!K7,"")</f>
        <v/>
      </c>
      <c r="Z6" s="113" t="str">
        <f>IF(AND(ABS(Jun!J7)&gt;קריטריונים!$B$2,Jun!B7&gt;קריטריונים!$B$3),Jun!J7,"")</f>
        <v/>
      </c>
      <c r="AA6" s="113" t="str">
        <f>IF(AND(ABS(Jun!F7)&gt;קריטריונים!$B$1,Jun!B7&gt;קריטריונים!$B$3),Jun!F7,"")</f>
        <v/>
      </c>
      <c r="AB6" s="113" t="str">
        <f>IF(AND(ABS(Jun!E7)&gt;קריטריונים!$B$1,Jun!B7&gt;קריטריונים!$B$3),Jun!E7,"")</f>
        <v/>
      </c>
      <c r="AC6" s="113" t="str">
        <f>IF(AND(ABS(May!K7)&gt;קריטריונים!$B$2,May!B7&gt;קריטריונים!$B$3),May!K7,"")</f>
        <v/>
      </c>
      <c r="AD6" s="113" t="str">
        <f>IF(AND(ABS(May!J7)&gt;קריטריונים!$B$2,May!B7&gt;קריטריונים!$B$3),May!J7,"")</f>
        <v/>
      </c>
      <c r="AE6" s="113" t="str">
        <f>IF(AND(ABS(May!F7)&gt;קריטריונים!$B$1,May!B7&gt;קריטריונים!$B$3),May!F7,"")</f>
        <v/>
      </c>
      <c r="AF6" s="113" t="str">
        <f>IF(AND(ABS(May!E7)&gt;קריטריונים!$B$1,May!B7&gt;קריטריונים!$B$3),May!E7,"")</f>
        <v/>
      </c>
      <c r="AG6" s="113" t="str">
        <f>IF(AND(ABS(Apr!K7)&gt;קריטריונים!$B$2,Apr!B7&gt;קריטריונים!$B$3),Apr!K7,"")</f>
        <v/>
      </c>
      <c r="AH6" s="113" t="str">
        <f>IF(AND(ABS(Apr!J7)&gt;קריטריונים!$B$2,Apr!B7&gt;קריטריונים!$B$3),Apr!J7,"")</f>
        <v/>
      </c>
      <c r="AI6" s="113" t="str">
        <f>IF(AND(ABS(Apr!F7)&gt;קריטריונים!$B$1,Apr!B7&gt;קריטריונים!$B$3),Apr!F7,"")</f>
        <v/>
      </c>
      <c r="AJ6" s="113" t="str">
        <f>IF(AND(ABS(Apr!E7)&gt;קריטריונים!$B$1,Apr!B7&gt;קריטריונים!$B$3),Apr!E7,"")</f>
        <v/>
      </c>
      <c r="AK6" s="113" t="str">
        <f>IF(AND(ABS(Mar!K7)&gt;קריטריונים!$B$2,Mar!B7&gt;קריטריונים!$B$3),Mar!K7,"")</f>
        <v/>
      </c>
      <c r="AL6" s="113" t="str">
        <f>IF(AND(ABS(Mar!J7)&gt;קריטריונים!$B$2,Mar!B7&gt;קריטריונים!$B$3),Mar!J7,"")</f>
        <v/>
      </c>
      <c r="AM6" s="113" t="str">
        <f>IF(AND(ABS(Mar!F7)&gt;קריטריונים!$B$1,Mar!B7&gt;קריטריונים!$B$3),Mar!F7,"")</f>
        <v/>
      </c>
      <c r="AN6" s="113" t="str">
        <f>IF(AND(ABS(Mar!E7)&gt;קריטריונים!$B$1,Mar!B7&gt;קריטריונים!$B$3),Mar!E7,"")</f>
        <v/>
      </c>
      <c r="AO6" s="113" t="str">
        <f>IF(AND(ABS(Feb!K7)&gt;קריטריונים!$B$2,Feb!B7&gt;קריטריונים!$B$3),Feb!K7,"")</f>
        <v/>
      </c>
      <c r="AP6" s="113" t="str">
        <f>IF(AND(ABS(Feb!J7)&gt;קריטריונים!$B$2,Feb!B7&gt;קריטריונים!$B$3),Feb!J7,"")</f>
        <v/>
      </c>
      <c r="AQ6" s="113" t="str">
        <f>IF(AND(ABS(Feb!F7)&gt;קריטריונים!$B$1,Feb!B7&gt;קריטריונים!$B$3),Feb!F7,"")</f>
        <v/>
      </c>
      <c r="AR6" s="113" t="str">
        <f>IF(AND(ABS(Feb!E7)&gt;קריטריונים!$B$1,Feb!B7&gt;קריטריונים!$B$3),Feb!E7,"")</f>
        <v/>
      </c>
      <c r="AS6" s="113" t="str">
        <f>IF(AND(ABS(Jan!F7)&gt;קריטריונים!$B$1,Jan!B7&gt;קריטריונים!$B$3),Jan!F7,"")</f>
        <v/>
      </c>
      <c r="AT6" s="103" t="str">
        <f>IF(AND(ABS(Jan!E7)&gt;קריטריונים!$B$1,Jan!B7&gt;קריטריונים!$B$3),Jan!E7,"")</f>
        <v/>
      </c>
      <c r="AU6" s="118"/>
      <c r="AV6" s="4"/>
    </row>
    <row r="7" spans="1:49">
      <c r="A7" s="112" t="str">
        <f>IF(AND(ABS(Dec!K8)&gt;קריטריונים!$B$2,Dec!B8&gt;קריטריונים!$B$3),Dec!K8,"")</f>
        <v/>
      </c>
      <c r="B7" s="113" t="str">
        <f>IF(AND(ABS(Dec!J8)&gt;קריטריונים!$B$2,Dec!B8&gt;קריטריונים!$B$3),Dec!J8,"")</f>
        <v/>
      </c>
      <c r="C7" s="113" t="str">
        <f>IF(AND(ABS(Dec!F8)&gt;קריטריונים!$B$1,Dec!B8&gt;קריטריונים!$B$3),Dec!F8,"")</f>
        <v/>
      </c>
      <c r="D7" s="113" t="str">
        <f>IF(AND(ABS(Dec!E8)&gt;קריטריונים!$B$1,Dec!B8&gt;קריטריונים!$B$3),Dec!E8,"")</f>
        <v/>
      </c>
      <c r="E7" s="113">
        <f>IF(AND(ABS(Nov!K8)&gt;קריטריונים!$B$2,Nov!B8&gt;קריטריונים!$B$3),Nov!K8,"")</f>
        <v>0.8381434568307411</v>
      </c>
      <c r="F7" s="113">
        <f>IF(AND(ABS(Nov!J8)&gt;קריטריונים!$B$2,Nov!B8&gt;קריטריונים!$B$3),Nov!J8,"")</f>
        <v>0.4343716719914803</v>
      </c>
      <c r="G7" s="113">
        <f>IF(AND(ABS(Nov!F8)&gt;קריטריונים!$B$1,Nov!B8&gt;קריטריונים!$B$3),Nov!F8,"")</f>
        <v>1.2106179286335941</v>
      </c>
      <c r="H7" s="113">
        <f>IF(AND(ABS(Nov!E8)&gt;קריטריונים!$B$1,Nov!B8&gt;קריטריונים!$B$3),Nov!E8,"")</f>
        <v>0.23685235683677441</v>
      </c>
      <c r="I7" s="113">
        <f>IF(AND(ABS(Oct!K8)&gt;קריטריונים!$B$2,Oct!B8&gt;קריטריונים!$B$3),Oct!K8,"")</f>
        <v>0.79444240221105811</v>
      </c>
      <c r="J7" s="113">
        <f>IF(AND(ABS(Oct!J8)&gt;קריטריונים!$B$2,Oct!B8&gt;קריטריונים!$B$3),Oct!J8,"")</f>
        <v>0.46826192545061596</v>
      </c>
      <c r="K7" s="113">
        <f>IF(AND(ABS(Oct!F8)&gt;קריטריונים!$B$1,Oct!B8&gt;קריטריונים!$B$3),Oct!F8,"")</f>
        <v>0.91763442958914787</v>
      </c>
      <c r="L7" s="113">
        <f>IF(AND(ABS(Oct!E8)&gt;קריטריונים!$B$1,Oct!B8&gt;קריטריונים!$B$3),Oct!E8,"")</f>
        <v>0.71174702730955164</v>
      </c>
      <c r="M7" s="113">
        <f>IF(AND(ABS(Sep!K8)&gt;קריטריונים!$B$2,Sep!B8&gt;קריטריונים!$B$3),Sep!K8,"")</f>
        <v>0.77446916236827978</v>
      </c>
      <c r="N7" s="113">
        <f>IF(AND(ABS(Sep!J8)&gt;קריטריונים!$B$2,Sep!B8&gt;קריטריונים!$B$3),Sep!J8,"")</f>
        <v>0.43255861483142044</v>
      </c>
      <c r="O7" s="113">
        <f>IF(AND(ABS(Sep!F8)&gt;קריטריונים!$B$1,Sep!B8&gt;קריטריונים!$B$3),Sep!F8,"")</f>
        <v>0.59591863431225089</v>
      </c>
      <c r="P7" s="113">
        <f>IF(AND(ABS(Sep!E8)&gt;קריטריונים!$B$1,Sep!B8&gt;קריטריונים!$B$3),Sep!E8,"")</f>
        <v>6.9893887573445612E-2</v>
      </c>
      <c r="Q7" s="113">
        <f>IF(AND(ABS(Aug!K8)&gt;קריטריונים!$B$2,Aug!B8&gt;קריטריונים!$B$3),Aug!K8,"")</f>
        <v>0.79903703370382084</v>
      </c>
      <c r="R7" s="113">
        <f>IF(AND(ABS(Aug!J8)&gt;קריטריונים!$B$2,Aug!B8&gt;קריטריונים!$B$3),Aug!J8,"")</f>
        <v>0.49438949815724365</v>
      </c>
      <c r="S7" s="113">
        <f>IF(AND(ABS(Aug!F8)&gt;קריטריונים!$B$1,Aug!B8&gt;קריטריונים!$B$3),Aug!F8,"")</f>
        <v>0.75314742910930699</v>
      </c>
      <c r="T7" s="113">
        <f>IF(AND(ABS(Aug!E8)&gt;קריטריונים!$B$1,Aug!B8&gt;קריטריונים!$B$3),Aug!E8,"")</f>
        <v>0.34331049404976555</v>
      </c>
      <c r="U7" s="113">
        <f>IF(AND(ABS(Jul!K8)&gt;קריטריונים!$B$2,Jul!B8&gt;קריטריונים!$B$3),Jul!K8,"")</f>
        <v>0.6649417270395539</v>
      </c>
      <c r="V7" s="113">
        <f>IF(AND(ABS(Jul!J8)&gt;קריטריונים!$B$2,Jul!B8&gt;קריטריונים!$B$3),Jul!J8,"")</f>
        <v>0.50804972488282063</v>
      </c>
      <c r="W7" s="113">
        <f>IF(AND(ABS(Jul!F8)&gt;קריטריונים!$B$1,Jul!B8&gt;קריטריונים!$B$3),Jul!F8,"")</f>
        <v>0.76215790509942893</v>
      </c>
      <c r="X7" s="113">
        <f>IF(AND(ABS(Jul!E8)&gt;קריטריונים!$B$1,Jul!B8&gt;קריטריונים!$B$3),Jul!E8,"")</f>
        <v>0.20905099628503887</v>
      </c>
      <c r="Y7" s="113">
        <f>IF(AND(ABS(Jun!K8)&gt;קריטריונים!$B$2,Jun!B8&gt;קריטריונים!$B$3),Jun!K8,"")</f>
        <v>0.79116956619609646</v>
      </c>
      <c r="Z7" s="113">
        <f>IF(AND(ABS(Jun!J8)&gt;קריטריונים!$B$2,Jun!B8&gt;קריטריונים!$B$3),Jun!J8,"")</f>
        <v>0.54908686381755833</v>
      </c>
      <c r="AA7" s="113">
        <f>IF(AND(ABS(Jun!F8)&gt;קריטריונים!$B$1,Jun!B8&gt;קריטריונים!$B$3),Jun!F8,"")</f>
        <v>0.9081094652272157</v>
      </c>
      <c r="AB7" s="113">
        <f>IF(AND(ABS(Jun!E8)&gt;קריטריונים!$B$1,Jun!B8&gt;קריטריונים!$B$3),Jun!E8,"")</f>
        <v>0.35343701768965929</v>
      </c>
      <c r="AC7" s="113">
        <f>IF(AND(ABS(May!K8)&gt;קריטריונים!$B$2,May!B8&gt;קריטריונים!$B$3),May!K8,"")</f>
        <v>0.79234619731955447</v>
      </c>
      <c r="AD7" s="113">
        <f>IF(AND(ABS(May!J8)&gt;קריטריונים!$B$2,May!B8&gt;קריטריונים!$B$3),May!J8,"")</f>
        <v>0.58529618562137475</v>
      </c>
      <c r="AE7" s="113">
        <f>IF(AND(ABS(May!F8)&gt;קריטריונים!$B$1,May!B8&gt;קריטריונים!$B$3),May!F8,"")</f>
        <v>0.77753593615381167</v>
      </c>
      <c r="AF7" s="113">
        <f>IF(AND(ABS(May!E8)&gt;קריטריונים!$B$1,May!B8&gt;קריטריונים!$B$3),May!E8,"")</f>
        <v>0.45260505447268984</v>
      </c>
      <c r="AG7" s="113">
        <f>IF(AND(ABS(Apr!K8)&gt;קריטריונים!$B$2,Apr!B8&gt;קריטריונים!$B$3),Apr!K8,"")</f>
        <v>0.79793348843574652</v>
      </c>
      <c r="AH7" s="113">
        <f>IF(AND(ABS(Apr!J8)&gt;קריטריונים!$B$2,Apr!B8&gt;קריטריונים!$B$3),Apr!J8,"")</f>
        <v>0.64121302976357786</v>
      </c>
      <c r="AI7" s="113">
        <f>IF(AND(ABS(Apr!F8)&gt;קריטריונים!$B$1,Apr!B8&gt;קריטריונים!$B$3),Apr!F8,"")</f>
        <v>0.51328326420804848</v>
      </c>
      <c r="AJ7" s="113">
        <f>IF(AND(ABS(Apr!E8)&gt;קריטריונים!$B$1,Apr!B8&gt;קריטריונים!$B$3),Apr!E8,"")</f>
        <v>0.5094761558673897</v>
      </c>
      <c r="AK7" s="113">
        <f>IF(AND(ABS(Mar!K8)&gt;קריטריונים!$B$2,Mar!B8&gt;קריטריונים!$B$3),Mar!K8,"")</f>
        <v>0.92298222287881027</v>
      </c>
      <c r="AL7" s="113">
        <f>IF(AND(ABS(Mar!J8)&gt;קריטריונים!$B$2,Mar!B8&gt;קריטריונים!$B$3),Mar!J8,"")</f>
        <v>0.69227102337977509</v>
      </c>
      <c r="AM7" s="113">
        <f>IF(AND(ABS(Mar!F8)&gt;קריטריונים!$B$1,Mar!B8&gt;קריטריונים!$B$3),Mar!F8,"")</f>
        <v>1.1797061838059446</v>
      </c>
      <c r="AN7" s="113">
        <f>IF(AND(ABS(Mar!E8)&gt;קריטריונים!$B$1,Mar!B8&gt;קריטריונים!$B$3),Mar!E8,"")</f>
        <v>0.84873949579831942</v>
      </c>
      <c r="AO7" s="113">
        <f>IF(AND(ABS(Feb!K8)&gt;קריטריונים!$B$2,Feb!B8&gt;קריטריונים!$B$3),Feb!K8,"")</f>
        <v>0.77835944416644232</v>
      </c>
      <c r="AP7" s="113">
        <f>IF(AND(ABS(Feb!J8)&gt;קריטריונים!$B$2,Feb!B8&gt;קריטריונים!$B$3),Feb!J8,"")</f>
        <v>0.59883720930232553</v>
      </c>
      <c r="AQ7" s="113">
        <f>IF(AND(ABS(Feb!F8)&gt;קריטריונים!$B$1,Feb!B8&gt;קריטריונים!$B$3),Feb!F8,"")</f>
        <v>0.63322445170321995</v>
      </c>
      <c r="AR7" s="113">
        <f>IF(AND(ABS(Feb!E8)&gt;קריטריונים!$B$1,Feb!B8&gt;קריטריונים!$B$3),Feb!E8,"")</f>
        <v>0.46111641221374033</v>
      </c>
      <c r="AS7" s="113">
        <f>IF(AND(ABS(Jan!F8)&gt;קריטריונים!$B$1,Jan!B8&gt;קריטריונים!$B$3),Jan!F8,"")</f>
        <v>0.97668063399526317</v>
      </c>
      <c r="AT7" s="103">
        <f>IF(AND(ABS(Jan!E8)&gt;קריטריונים!$B$1,Jan!B8&gt;קריטריונים!$B$3),Jan!E8,"")</f>
        <v>0.78924802110817938</v>
      </c>
      <c r="AU7" s="118" t="s">
        <v>3</v>
      </c>
      <c r="AV7" s="4"/>
    </row>
    <row r="8" spans="1:49">
      <c r="A8" s="112" t="str">
        <f>IF(AND(ABS(Dec!K9)&gt;קריטריונים!$B$2,Dec!B9&gt;קריטריונים!$B$3),Dec!K9,"")</f>
        <v/>
      </c>
      <c r="B8" s="113" t="str">
        <f>IF(AND(ABS(Dec!J9)&gt;קריטריונים!$B$2,Dec!B9&gt;קריטריונים!$B$3),Dec!J9,"")</f>
        <v/>
      </c>
      <c r="C8" s="113" t="str">
        <f>IF(AND(ABS(Dec!F9)&gt;קריטריונים!$B$1,Dec!B9&gt;קריטריונים!$B$3),Dec!F9,"")</f>
        <v/>
      </c>
      <c r="D8" s="113" t="str">
        <f>IF(AND(ABS(Dec!E9)&gt;קריטריונים!$B$1,Dec!B9&gt;קריטריונים!$B$3),Dec!E9,"")</f>
        <v/>
      </c>
      <c r="E8" s="113">
        <f>IF(AND(ABS(Nov!K9)&gt;קריטריונים!$B$2,Nov!B9&gt;קריטריונים!$B$3),Nov!K9,"")</f>
        <v>0.4613834788448623</v>
      </c>
      <c r="F8" s="113">
        <f>IF(AND(ABS(Nov!J9)&gt;קריטריונים!$B$2,Nov!B9&gt;קריטריונים!$B$3),Nov!J9,"")</f>
        <v>0.29342114648470008</v>
      </c>
      <c r="G8" s="113">
        <f>IF(AND(ABS(Nov!F9)&gt;קריטריונים!$B$1,Nov!B9&gt;קריטריונים!$B$3),Nov!F9,"")</f>
        <v>0.58394931362196423</v>
      </c>
      <c r="H8" s="113">
        <f>IF(AND(ABS(Nov!E9)&gt;קריטריונים!$B$1,Nov!B9&gt;קריטריונים!$B$3),Nov!E9,"")</f>
        <v>7.5847229693383644E-2</v>
      </c>
      <c r="I8" s="113">
        <f>IF(AND(ABS(Oct!K9)&gt;קריטריונים!$B$2,Oct!B9&gt;קריטריונים!$B$3),Oct!K9,"")</f>
        <v>0.44749828034811734</v>
      </c>
      <c r="J8" s="113">
        <f>IF(AND(ABS(Oct!J9)&gt;קריטריונים!$B$2,Oct!B9&gt;קריטריונים!$B$3),Oct!J9,"")</f>
        <v>0.32668165122526172</v>
      </c>
      <c r="K8" s="113">
        <f>IF(AND(ABS(Oct!F9)&gt;קריטריונים!$B$1,Oct!B9&gt;קריטריונים!$B$3),Oct!F9,"")</f>
        <v>0.63994840611756043</v>
      </c>
      <c r="L8" s="113">
        <f>IF(AND(ABS(Oct!E9)&gt;קריטריונים!$B$1,Oct!B9&gt;קריטריונים!$B$3),Oct!E9,"")</f>
        <v>0.56332337958896916</v>
      </c>
      <c r="M8" s="113">
        <f>IF(AND(ABS(Sep!K9)&gt;קריטריונים!$B$2,Sep!B9&gt;קריטריונים!$B$3),Sep!K9,"")</f>
        <v>0.41021063905747934</v>
      </c>
      <c r="N8" s="113">
        <f>IF(AND(ABS(Sep!J9)&gt;קריטריונים!$B$2,Sep!B9&gt;קריטריונים!$B$3),Sep!J9,"")</f>
        <v>0.28292572022475571</v>
      </c>
      <c r="O8" s="113">
        <f>IF(AND(ABS(Sep!F9)&gt;קריטריונים!$B$1,Sep!B9&gt;קריטריונים!$B$3),Sep!F9,"")</f>
        <v>0.6122531237404274</v>
      </c>
      <c r="P8" s="113">
        <f>IF(AND(ABS(Sep!E9)&gt;קריטריונים!$B$1,Sep!B9&gt;קריטריונים!$B$3),Sep!E9,"")</f>
        <v>-9.9504727600180143E-2</v>
      </c>
      <c r="Q8" s="113">
        <f>IF(AND(ABS(Aug!K9)&gt;קריטריונים!$B$2,Aug!B9&gt;קריטריונים!$B$3),Aug!K9,"")</f>
        <v>0.3905754240275765</v>
      </c>
      <c r="R8" s="113">
        <f>IF(AND(ABS(Aug!J9)&gt;קריטריונים!$B$2,Aug!B9&gt;קריטריונים!$B$3),Aug!J9,"")</f>
        <v>0.34740198125023736</v>
      </c>
      <c r="S8" s="113">
        <f>IF(AND(ABS(Aug!F9)&gt;קריטריונים!$B$1,Aug!B9&gt;קריטריונים!$B$3),Aug!F9,"")</f>
        <v>1.5228426395939243E-2</v>
      </c>
      <c r="T8" s="113">
        <f>IF(AND(ABS(Aug!E9)&gt;קריטריונים!$B$1,Aug!B9&gt;קריטריונים!$B$3),Aug!E9,"")</f>
        <v>0.54373927958833623</v>
      </c>
      <c r="U8" s="113">
        <f>IF(AND(ABS(Jul!K9)&gt;קריטריונים!$B$2,Jul!B9&gt;קריטריונים!$B$3),Jul!K9,"")</f>
        <v>0.32006737435857269</v>
      </c>
      <c r="V8" s="113">
        <f>IF(AND(ABS(Jul!J9)&gt;קריטריונים!$B$2,Jul!B9&gt;קריטריונים!$B$3),Jul!J9,"")</f>
        <v>0.3383106310313333</v>
      </c>
      <c r="W8" s="113">
        <f>IF(AND(ABS(Jul!F9)&gt;קריטריונים!$B$1,Jul!B9&gt;קריטריונים!$B$3),Jul!F9,"")</f>
        <v>0.3777267508610791</v>
      </c>
      <c r="X8" s="113">
        <f>IF(AND(ABS(Jul!E9)&gt;קריטריונים!$B$1,Jul!B9&gt;קריטריונים!$B$3),Jul!E9,"")</f>
        <v>0.17531831537708142</v>
      </c>
      <c r="Y8" s="113">
        <f>IF(AND(ABS(Jun!K9)&gt;קריטריונים!$B$2,Jun!B9&gt;קריטריונים!$B$3),Jun!K9,"")</f>
        <v>0.41673833340877198</v>
      </c>
      <c r="Z8" s="113">
        <f>IF(AND(ABS(Jun!J9)&gt;קריטריונים!$B$2,Jun!B9&gt;קריטריונים!$B$3),Jun!J9,"")</f>
        <v>0.35269458489995253</v>
      </c>
      <c r="AA8" s="113">
        <f>IF(AND(ABS(Jun!F9)&gt;קריטריונים!$B$1,Jun!B9&gt;קריטריונים!$B$3),Jun!F9,"")</f>
        <v>0.67624521072796928</v>
      </c>
      <c r="AB8" s="113">
        <f>IF(AND(ABS(Jun!E9)&gt;קריטריונים!$B$1,Jun!B9&gt;קריטריונים!$B$3),Jun!E9,"")</f>
        <v>0.74825174825174834</v>
      </c>
      <c r="AC8" s="113">
        <f>IF(AND(ABS(May!K9)&gt;קריטריונים!$B$2,May!B9&gt;קריטריונים!$B$3),May!K9,"")</f>
        <v>0.39516209976914585</v>
      </c>
      <c r="AD8" s="113">
        <f>IF(AND(ABS(May!J9)&gt;קריטריונים!$B$2,May!B9&gt;קריטריונים!$B$3),May!J9,"")</f>
        <v>0.31522921890523725</v>
      </c>
      <c r="AE8" s="113">
        <f>IF(AND(ABS(May!F9)&gt;קריטריונים!$B$1,May!B9&gt;קריטריונים!$B$3),May!F9,"")</f>
        <v>0.56929019797199398</v>
      </c>
      <c r="AF8" s="113">
        <f>IF(AND(ABS(May!E9)&gt;קריטריונים!$B$1,May!B9&gt;קריטריונים!$B$3),May!E9,"")</f>
        <v>0.39890239965565488</v>
      </c>
      <c r="AG8" s="113">
        <f>IF(AND(ABS(Apr!K9)&gt;קריטריונים!$B$2,Apr!B9&gt;קריטריונים!$B$3),Apr!K9,"")</f>
        <v>0.27125923380862416</v>
      </c>
      <c r="AH8" s="113">
        <f>IF(AND(ABS(Apr!J9)&gt;קריטריונים!$B$2,Apr!B9&gt;קריטריונים!$B$3),Apr!J9,"")</f>
        <v>0.24957784532252614</v>
      </c>
      <c r="AI8" s="113">
        <f>IF(AND(ABS(Apr!F9)&gt;קריטריונים!$B$1,Apr!B9&gt;קריטריונים!$B$3),Apr!F9,"")</f>
        <v>6.9958847736625529E-2</v>
      </c>
      <c r="AJ8" s="113">
        <f>IF(AND(ABS(Apr!E9)&gt;קריטריונים!$B$1,Apr!B9&gt;קריטריונים!$B$3),Apr!E9,"")</f>
        <v>0.19970468807678099</v>
      </c>
      <c r="AK8" s="113">
        <f>IF(AND(ABS(Mar!K9)&gt;קריטריונים!$B$2,Mar!B9&gt;קריטריונים!$B$3),Mar!K9,"")</f>
        <v>0.49092868690497582</v>
      </c>
      <c r="AL8" s="113">
        <f>IF(AND(ABS(Mar!J9)&gt;קריטריונים!$B$2,Mar!B9&gt;קריטריונים!$B$3),Mar!J9,"")</f>
        <v>0.29162776221599751</v>
      </c>
      <c r="AM8" s="113">
        <f>IF(AND(ABS(Mar!F9)&gt;קריטריונים!$B$1,Mar!B9&gt;קריטריונים!$B$3),Mar!F9,"")</f>
        <v>0.93032015065913343</v>
      </c>
      <c r="AN8" s="113">
        <f>IF(AND(ABS(Mar!E9)&gt;קריטריונים!$B$1,Mar!B9&gt;קריטריונים!$B$3),Mar!E9,"")</f>
        <v>0.46795560329394892</v>
      </c>
      <c r="AO8" s="113">
        <f>IF(AND(ABS(Feb!K9)&gt;קריטריונים!$B$2,Feb!B9&gt;קריטריונים!$B$3),Feb!K9,"")</f>
        <v>0.21986639558524557</v>
      </c>
      <c r="AP8" s="113">
        <f>IF(AND(ABS(Feb!J9)&gt;קריטריונים!$B$2,Feb!B9&gt;קריטריונים!$B$3),Feb!J9,"")</f>
        <v>0.1560693641618498</v>
      </c>
      <c r="AQ8" s="113">
        <f>IF(AND(ABS(Feb!F9)&gt;קריטריונים!$B$1,Feb!B9&gt;קריטריונים!$B$3),Feb!F9,"")</f>
        <v>0.17244748412310695</v>
      </c>
      <c r="AR8" s="113">
        <f>IF(AND(ABS(Feb!E9)&gt;קריטריונים!$B$1,Feb!B9&gt;קריטריונים!$B$3),Feb!E9,"")</f>
        <v>0.22824974411463672</v>
      </c>
      <c r="AS8" s="113">
        <f>IF(AND(ABS(Jan!F9)&gt;קריטריונים!$B$1,Jan!B9&gt;קריטריונים!$B$3),Jan!F9,"")</f>
        <v>0.28939828080229235</v>
      </c>
      <c r="AT8" s="103">
        <f>IF(AND(ABS(Jan!E9)&gt;קריטריונים!$B$1,Jan!B9&gt;קריטריונים!$B$3),Jan!E9,"")</f>
        <v>7.2066706372841072E-2</v>
      </c>
      <c r="AU8" s="118" t="s">
        <v>4</v>
      </c>
      <c r="AV8" s="4"/>
    </row>
    <row r="9" spans="1:49">
      <c r="A9" s="112" t="str">
        <f>IF(AND(ABS(Dec!K10)&gt;קריטריונים!$B$2,Dec!B10&gt;קריטריונים!$B$3),Dec!K10,"")</f>
        <v/>
      </c>
      <c r="B9" s="113" t="str">
        <f>IF(AND(ABS(Dec!J10)&gt;קריטריונים!$B$2,Dec!B10&gt;קריטריונים!$B$3),Dec!J10,"")</f>
        <v/>
      </c>
      <c r="C9" s="113" t="str">
        <f>IF(AND(ABS(Dec!F10)&gt;קריטריונים!$B$1,Dec!B10&gt;קריטריונים!$B$3),Dec!F10,"")</f>
        <v/>
      </c>
      <c r="D9" s="113" t="str">
        <f>IF(AND(ABS(Dec!E10)&gt;קריטריונים!$B$1,Dec!B10&gt;קריטריונים!$B$3),Dec!E10,"")</f>
        <v/>
      </c>
      <c r="E9" s="113">
        <f>IF(AND(ABS(Nov!K10)&gt;קריטריונים!$B$2,Nov!B10&gt;קריטריונים!$B$3),Nov!K10,"")</f>
        <v>0.88172043010752676</v>
      </c>
      <c r="F9" s="113">
        <f>IF(AND(ABS(Nov!J10)&gt;קריטריונים!$B$2,Nov!B10&gt;קריטריונים!$B$3),Nov!J10,"")</f>
        <v>0.3135448652337085</v>
      </c>
      <c r="G9" s="113">
        <f>IF(AND(ABS(Nov!F10)&gt;קריטריונים!$B$1,Nov!B10&gt;קריטריונים!$B$3),Nov!F10,"")</f>
        <v>1.5157232704402515</v>
      </c>
      <c r="H9" s="113">
        <f>IF(AND(ABS(Nov!E10)&gt;קריטריונים!$B$1,Nov!B10&gt;קריטריונים!$B$3),Nov!E10,"")</f>
        <v>0.18226600985221686</v>
      </c>
      <c r="I9" s="113" t="str">
        <f>IF(AND(ABS(Oct!K10)&gt;קריטריונים!$B$2,Oct!B10&gt;קריטריונים!$B$3),Oct!K10,"")</f>
        <v/>
      </c>
      <c r="J9" s="113" t="str">
        <f>IF(AND(ABS(Oct!J10)&gt;קריטריונים!$B$2,Oct!B10&gt;קריטריונים!$B$3),Oct!J10,"")</f>
        <v/>
      </c>
      <c r="K9" s="113" t="str">
        <f>IF(AND(ABS(Oct!F10)&gt;קריטריונים!$B$1,Oct!B10&gt;קריטריונים!$B$3),Oct!F10,"")</f>
        <v/>
      </c>
      <c r="L9" s="113" t="str">
        <f>IF(AND(ABS(Oct!E10)&gt;קריטריונים!$B$1,Oct!B10&gt;קריטריונים!$B$3),Oct!E10,"")</f>
        <v/>
      </c>
      <c r="M9" s="113" t="str">
        <f>IF(AND(ABS(Sep!K10)&gt;קריטריונים!$B$2,Sep!B10&gt;קריטריונים!$B$3),Sep!K10,"")</f>
        <v/>
      </c>
      <c r="N9" s="113" t="str">
        <f>IF(AND(ABS(Sep!J10)&gt;קריטריונים!$B$2,Sep!B10&gt;קריטריונים!$B$3),Sep!J10,"")</f>
        <v/>
      </c>
      <c r="O9" s="113" t="str">
        <f>IF(AND(ABS(Sep!F10)&gt;קריטריונים!$B$1,Sep!B10&gt;קריטריונים!$B$3),Sep!F10,"")</f>
        <v/>
      </c>
      <c r="P9" s="113" t="str">
        <f>IF(AND(ABS(Sep!E10)&gt;קריטריונים!$B$1,Sep!B10&gt;קריטריונים!$B$3),Sep!E10,"")</f>
        <v/>
      </c>
      <c r="Q9" s="113" t="str">
        <f>IF(AND(ABS(Aug!K10)&gt;קריטריונים!$B$2,Aug!B10&gt;קריטריונים!$B$3),Aug!K10,"")</f>
        <v/>
      </c>
      <c r="R9" s="113" t="str">
        <f>IF(AND(ABS(Aug!J10)&gt;קריטריונים!$B$2,Aug!B10&gt;קריטריונים!$B$3),Aug!J10,"")</f>
        <v/>
      </c>
      <c r="S9" s="113" t="str">
        <f>IF(AND(ABS(Aug!F10)&gt;קריטריונים!$B$1,Aug!B10&gt;קריטריונים!$B$3),Aug!F10,"")</f>
        <v/>
      </c>
      <c r="T9" s="113" t="str">
        <f>IF(AND(ABS(Aug!E10)&gt;קריטריונים!$B$1,Aug!B10&gt;קריטריונים!$B$3),Aug!E10,"")</f>
        <v/>
      </c>
      <c r="U9" s="113" t="str">
        <f>IF(AND(ABS(Jul!K10)&gt;קריטריונים!$B$2,Jul!B10&gt;קריטריונים!$B$3),Jul!K10,"")</f>
        <v/>
      </c>
      <c r="V9" s="113" t="str">
        <f>IF(AND(ABS(Jul!J10)&gt;קריטריונים!$B$2,Jul!B10&gt;קריטריונים!$B$3),Jul!J10,"")</f>
        <v/>
      </c>
      <c r="W9" s="113" t="str">
        <f>IF(AND(ABS(Jul!F10)&gt;קריטריונים!$B$1,Jul!B10&gt;קריטריונים!$B$3),Jul!F10,"")</f>
        <v/>
      </c>
      <c r="X9" s="113" t="str">
        <f>IF(AND(ABS(Jul!E10)&gt;קריטריונים!$B$1,Jul!B10&gt;קריטריונים!$B$3),Jul!E10,"")</f>
        <v/>
      </c>
      <c r="Y9" s="113" t="str">
        <f>IF(AND(ABS(Jun!K10)&gt;קריטריונים!$B$2,Jun!B10&gt;קריטריונים!$B$3),Jun!K10,"")</f>
        <v/>
      </c>
      <c r="Z9" s="113" t="str">
        <f>IF(AND(ABS(Jun!J10)&gt;קריטריונים!$B$2,Jun!B10&gt;קריטריונים!$B$3),Jun!J10,"")</f>
        <v/>
      </c>
      <c r="AA9" s="113" t="str">
        <f>IF(AND(ABS(Jun!F10)&gt;קריטריונים!$B$1,Jun!B10&gt;קריטריונים!$B$3),Jun!F10,"")</f>
        <v/>
      </c>
      <c r="AB9" s="113" t="str">
        <f>IF(AND(ABS(Jun!E10)&gt;קריטריונים!$B$1,Jun!B10&gt;קריטריונים!$B$3),Jun!E10,"")</f>
        <v/>
      </c>
      <c r="AC9" s="113" t="str">
        <f>IF(AND(ABS(May!K10)&gt;קריטריונים!$B$2,May!B10&gt;קריטריונים!$B$3),May!K10,"")</f>
        <v/>
      </c>
      <c r="AD9" s="113" t="str">
        <f>IF(AND(ABS(May!J10)&gt;קריטריונים!$B$2,May!B10&gt;קריטריונים!$B$3),May!J10,"")</f>
        <v/>
      </c>
      <c r="AE9" s="113" t="str">
        <f>IF(AND(ABS(May!F10)&gt;קריטריונים!$B$1,May!B10&gt;קריטריונים!$B$3),May!F10,"")</f>
        <v/>
      </c>
      <c r="AF9" s="113" t="str">
        <f>IF(AND(ABS(May!E10)&gt;קריטריונים!$B$1,May!B10&gt;קריטריונים!$B$3),May!E10,"")</f>
        <v/>
      </c>
      <c r="AG9" s="113" t="str">
        <f>IF(AND(ABS(Apr!K10)&gt;קריטריונים!$B$2,Apr!B10&gt;קריטריונים!$B$3),Apr!K10,"")</f>
        <v/>
      </c>
      <c r="AH9" s="113" t="str">
        <f>IF(AND(ABS(Apr!J10)&gt;קריטריונים!$B$2,Apr!B10&gt;קריטריונים!$B$3),Apr!J10,"")</f>
        <v/>
      </c>
      <c r="AI9" s="113" t="str">
        <f>IF(AND(ABS(Apr!F10)&gt;קריטריונים!$B$1,Apr!B10&gt;קריטריונים!$B$3),Apr!F10,"")</f>
        <v/>
      </c>
      <c r="AJ9" s="113" t="str">
        <f>IF(AND(ABS(Apr!E10)&gt;קריטריונים!$B$1,Apr!B10&gt;קריטריונים!$B$3),Apr!E10,"")</f>
        <v/>
      </c>
      <c r="AK9" s="113" t="str">
        <f>IF(AND(ABS(Mar!K10)&gt;קריטריונים!$B$2,Mar!B10&gt;קריטריונים!$B$3),Mar!K10,"")</f>
        <v/>
      </c>
      <c r="AL9" s="113" t="str">
        <f>IF(AND(ABS(Mar!J10)&gt;קריטריונים!$B$2,Mar!B10&gt;קריטריונים!$B$3),Mar!J10,"")</f>
        <v/>
      </c>
      <c r="AM9" s="113" t="str">
        <f>IF(AND(ABS(Mar!F10)&gt;קריטריונים!$B$1,Mar!B10&gt;קריטריונים!$B$3),Mar!F10,"")</f>
        <v/>
      </c>
      <c r="AN9" s="113" t="str">
        <f>IF(AND(ABS(Mar!E10)&gt;קריטריונים!$B$1,Mar!B10&gt;קריטריונים!$B$3),Mar!E10,"")</f>
        <v/>
      </c>
      <c r="AO9" s="113" t="str">
        <f>IF(AND(ABS(Feb!K10)&gt;קריטריונים!$B$2,Feb!B10&gt;קריטריונים!$B$3),Feb!K10,"")</f>
        <v/>
      </c>
      <c r="AP9" s="113" t="str">
        <f>IF(AND(ABS(Feb!J10)&gt;קריטריונים!$B$2,Feb!B10&gt;קריטריונים!$B$3),Feb!J10,"")</f>
        <v/>
      </c>
      <c r="AQ9" s="113" t="str">
        <f>IF(AND(ABS(Feb!F10)&gt;קריטריונים!$B$1,Feb!B10&gt;קריטריונים!$B$3),Feb!F10,"")</f>
        <v/>
      </c>
      <c r="AR9" s="113" t="str">
        <f>IF(AND(ABS(Feb!E10)&gt;קריטריונים!$B$1,Feb!B10&gt;קריטריונים!$B$3),Feb!E10,"")</f>
        <v/>
      </c>
      <c r="AS9" s="113" t="str">
        <f>IF(AND(ABS(Jan!F10)&gt;קריטריונים!$B$1,Jan!B10&gt;קריטריונים!$B$3),Jan!F10,"")</f>
        <v/>
      </c>
      <c r="AT9" s="103" t="str">
        <f>IF(AND(ABS(Jan!E10)&gt;קריטריונים!$B$1,Jan!B10&gt;קריטריונים!$B$3),Jan!E10,"")</f>
        <v/>
      </c>
      <c r="AU9" s="118" t="s">
        <v>5</v>
      </c>
      <c r="AV9" s="4"/>
    </row>
    <row r="10" spans="1:49">
      <c r="A10" s="112" t="str">
        <f>IF(AND(ABS(Dec!K11)&gt;קריטריונים!$B$2,Dec!B11&gt;קריטריונים!$B$3),Dec!K11,"")</f>
        <v/>
      </c>
      <c r="B10" s="113" t="str">
        <f>IF(AND(ABS(Dec!J11)&gt;קריטריונים!$B$2,Dec!B11&gt;קריטריונים!$B$3),Dec!J11,"")</f>
        <v/>
      </c>
      <c r="C10" s="113" t="str">
        <f>IF(AND(ABS(Dec!F11)&gt;קריטריונים!$B$1,Dec!B11&gt;קריטריונים!$B$3),Dec!F11,"")</f>
        <v/>
      </c>
      <c r="D10" s="113" t="str">
        <f>IF(AND(ABS(Dec!E11)&gt;קריטריונים!$B$1,Dec!B11&gt;קריטריונים!$B$3),Dec!E11,"")</f>
        <v/>
      </c>
      <c r="E10" s="113">
        <f>IF(AND(ABS(Nov!K11)&gt;קריטריונים!$B$2,Nov!B11&gt;קריטריונים!$B$3),Nov!K11,"")</f>
        <v>0.66226503029361505</v>
      </c>
      <c r="F10" s="113">
        <f>IF(AND(ABS(Nov!J11)&gt;קריטריונים!$B$2,Nov!B11&gt;קריטריונים!$B$3),Nov!J11,"")</f>
        <v>0.65840049597024164</v>
      </c>
      <c r="G10" s="113">
        <f>IF(AND(ABS(Nov!F11)&gt;קריטריונים!$B$1,Nov!B11&gt;קריטריונים!$B$3),Nov!F11,"")</f>
        <v>1.1972406745017881</v>
      </c>
      <c r="H10" s="113">
        <f>IF(AND(ABS(Nov!E11)&gt;קריטריונים!$B$1,Nov!B11&gt;קריטריונים!$B$3),Nov!E11,"")</f>
        <v>0.50244584206848342</v>
      </c>
      <c r="I10" s="113">
        <f>IF(AND(ABS(Oct!K11)&gt;קריטריונים!$B$2,Oct!B11&gt;קריטריונים!$B$3),Oct!K11,"")</f>
        <v>0.60193615304828874</v>
      </c>
      <c r="J10" s="113">
        <f>IF(AND(ABS(Oct!J11)&gt;קריטריונים!$B$2,Oct!B11&gt;קריטריונים!$B$3),Oct!J11,"")</f>
        <v>0.68546137989571965</v>
      </c>
      <c r="K10" s="113">
        <f>IF(AND(ABS(Oct!F11)&gt;קריטריונים!$B$1,Oct!B11&gt;קריטריונים!$B$3),Oct!F11,"")</f>
        <v>0.4492753623188408</v>
      </c>
      <c r="L10" s="113">
        <f>IF(AND(ABS(Oct!E11)&gt;קריטריונים!$B$1,Oct!B11&gt;קריטריונים!$B$3),Oct!E11,"")</f>
        <v>0.47478591817316862</v>
      </c>
      <c r="M10" s="113">
        <f>IF(AND(ABS(Sep!K11)&gt;קריטריונים!$B$2,Sep!B11&gt;קריטריונים!$B$3),Sep!K11,"")</f>
        <v>0.62339796253697011</v>
      </c>
      <c r="N10" s="113">
        <f>IF(AND(ABS(Sep!J11)&gt;קריטריונים!$B$2,Sep!B11&gt;קריטריונים!$B$3),Sep!J11,"")</f>
        <v>0.71623123957754298</v>
      </c>
      <c r="O10" s="113">
        <f>IF(AND(ABS(Sep!F11)&gt;קריטריונים!$B$1,Sep!B11&gt;קריטריונים!$B$3),Sep!F11,"")</f>
        <v>0.21028744326777593</v>
      </c>
      <c r="P10" s="113">
        <f>IF(AND(ABS(Sep!E11)&gt;קריטריונים!$B$1,Sep!B11&gt;קריטריונים!$B$3),Sep!E11,"")</f>
        <v>0.41927853341218202</v>
      </c>
      <c r="Q10" s="113" t="str">
        <f>IF(AND(ABS(Aug!K11)&gt;קריטריונים!$B$2,Aug!B11&gt;קריטריונים!$B$3),Aug!K11,"")</f>
        <v/>
      </c>
      <c r="R10" s="113" t="str">
        <f>IF(AND(ABS(Aug!J11)&gt;קריטריונים!$B$2,Aug!B11&gt;קריטריונים!$B$3),Aug!J11,"")</f>
        <v/>
      </c>
      <c r="S10" s="113" t="str">
        <f>IF(AND(ABS(Aug!F11)&gt;קריטריונים!$B$1,Aug!B11&gt;קריטריונים!$B$3),Aug!F11,"")</f>
        <v/>
      </c>
      <c r="T10" s="113" t="str">
        <f>IF(AND(ABS(Aug!E11)&gt;קריטריונים!$B$1,Aug!B11&gt;קריטריונים!$B$3),Aug!E11,"")</f>
        <v/>
      </c>
      <c r="U10" s="113" t="str">
        <f>IF(AND(ABS(Jul!K11)&gt;קריטריונים!$B$2,Jul!B11&gt;קריטריונים!$B$3),Jul!K11,"")</f>
        <v/>
      </c>
      <c r="V10" s="113" t="str">
        <f>IF(AND(ABS(Jul!J11)&gt;קריטריונים!$B$2,Jul!B11&gt;קריטריונים!$B$3),Jul!J11,"")</f>
        <v/>
      </c>
      <c r="W10" s="113" t="str">
        <f>IF(AND(ABS(Jul!F11)&gt;קריטריונים!$B$1,Jul!B11&gt;קריטריונים!$B$3),Jul!F11,"")</f>
        <v/>
      </c>
      <c r="X10" s="113" t="str">
        <f>IF(AND(ABS(Jul!E11)&gt;קריטריונים!$B$1,Jul!B11&gt;קריטריונים!$B$3),Jul!E11,"")</f>
        <v/>
      </c>
      <c r="Y10" s="113">
        <f>IF(AND(ABS(Jun!K11)&gt;קריטריונים!$B$2,Jun!B11&gt;קריטריונים!$B$3),Jun!K11,"")</f>
        <v>0.80439330543933085</v>
      </c>
      <c r="Z10" s="113">
        <f>IF(AND(ABS(Jun!J11)&gt;קריטריונים!$B$2,Jun!B11&gt;קריטריונים!$B$3),Jun!J11,"")</f>
        <v>0.84196476241324092</v>
      </c>
      <c r="AA10" s="113">
        <f>IF(AND(ABS(Jun!F11)&gt;קריטריונים!$B$1,Jun!B11&gt;קריטריונים!$B$3),Jun!F11,"")</f>
        <v>0.77345537757437066</v>
      </c>
      <c r="AB10" s="113">
        <f>IF(AND(ABS(Jun!E11)&gt;קריטריונים!$B$1,Jun!B11&gt;קריטריונים!$B$3),Jun!E11,"")</f>
        <v>0.98717948717948723</v>
      </c>
      <c r="AC10" s="113">
        <f>IF(AND(ABS(May!K11)&gt;קריטריונים!$B$2,May!B11&gt;קריטריונים!$B$3),May!K11,"")</f>
        <v>0.81088589361045393</v>
      </c>
      <c r="AD10" s="113">
        <f>IF(AND(ABS(May!J11)&gt;קריטריונים!$B$2,May!B11&gt;קריטריונים!$B$3),May!J11,"")</f>
        <v>0.8185575532134739</v>
      </c>
      <c r="AE10" s="113">
        <f>IF(AND(ABS(May!F11)&gt;קריטריונים!$B$1,May!B11&gt;קריטריונים!$B$3),May!F11,"")</f>
        <v>0.11731843575418988</v>
      </c>
      <c r="AF10" s="113">
        <f>IF(AND(ABS(May!E11)&gt;קריטריונים!$B$1,May!B11&gt;קריטריונים!$B$3),May!E11,"")</f>
        <v>0.25673249551166943</v>
      </c>
      <c r="AG10" s="113">
        <f>IF(AND(ABS(Apr!K11)&gt;קריטריונים!$B$2,Apr!B11&gt;קריטריונים!$B$3),Apr!K11,"")</f>
        <v>1.0518508248994873</v>
      </c>
      <c r="AH10" s="113">
        <f>IF(AND(ABS(Apr!J11)&gt;קריטריונים!$B$2,Apr!B11&gt;קריטריונים!$B$3),Apr!J11,"")</f>
        <v>0.98657718120805371</v>
      </c>
      <c r="AI10" s="113">
        <f>IF(AND(ABS(Apr!F11)&gt;קריטריונים!$B$1,Apr!B11&gt;קריטריונים!$B$3),Apr!F11,"")</f>
        <v>0.66574125485841207</v>
      </c>
      <c r="AJ10" s="113">
        <f>IF(AND(ABS(Apr!E11)&gt;קריטריונים!$B$1,Apr!B11&gt;קריטריונים!$B$3),Apr!E11,"")</f>
        <v>0.60256410256410242</v>
      </c>
      <c r="AK10" s="113">
        <f>IF(AND(ABS(Mar!K11)&gt;קריטריונים!$B$2,Mar!B11&gt;קריטריונים!$B$3),Mar!K11,"")</f>
        <v>1.1803399852180343</v>
      </c>
      <c r="AL10" s="113">
        <f>IF(AND(ABS(Mar!J11)&gt;קריטריונים!$B$2,Mar!B11&gt;קריטריונים!$B$3),Mar!J11,"")</f>
        <v>1.1154535675869486</v>
      </c>
      <c r="AM10" s="113">
        <f>IF(AND(ABS(Mar!F11)&gt;קריטריונים!$B$1,Mar!B11&gt;קריטריונים!$B$3),Mar!F11,"")</f>
        <v>1.7813993915688831</v>
      </c>
      <c r="AN10" s="113">
        <f>IF(AND(ABS(Mar!E11)&gt;קריטריונים!$B$1,Mar!B11&gt;קריטריונים!$B$3),Mar!E11,"")</f>
        <v>1.2276366167768882</v>
      </c>
      <c r="AO10" s="113">
        <f>IF(AND(ABS(Feb!K11)&gt;קריטריונים!$B$2,Feb!B11&gt;קריטריונים!$B$3),Feb!K11,"")</f>
        <v>0.73577627772420473</v>
      </c>
      <c r="AP10" s="113">
        <f>IF(AND(ABS(Feb!J11)&gt;קריטריונים!$B$2,Feb!B11&gt;קריטריונים!$B$3),Feb!J11,"")</f>
        <v>0.99630314232902051</v>
      </c>
      <c r="AQ10" s="113">
        <f>IF(AND(ABS(Feb!F11)&gt;קריטריונים!$B$1,Feb!B11&gt;קריטריונים!$B$3),Feb!F11,"")</f>
        <v>0.56985871271585564</v>
      </c>
      <c r="AR10" s="113">
        <f>IF(AND(ABS(Feb!E11)&gt;קריטריונים!$B$1,Feb!B11&gt;קריטריונים!$B$3),Feb!E11,"")</f>
        <v>0.79533213644524237</v>
      </c>
      <c r="AS10" s="113">
        <f>IF(AND(ABS(Jan!F11)&gt;קריטריונים!$B$1,Jan!B11&gt;קריטריונים!$B$3),Jan!F11,"")</f>
        <v>1</v>
      </c>
      <c r="AT10" s="103">
        <f>IF(AND(ABS(Jan!E11)&gt;קריטריונים!$B$1,Jan!B11&gt;קריטריונים!$B$3),Jan!E11,"")</f>
        <v>1.3210831721470018</v>
      </c>
      <c r="AU10" s="118" t="s">
        <v>6</v>
      </c>
      <c r="AV10" s="4"/>
    </row>
    <row r="11" spans="1:49">
      <c r="A11" s="112" t="str">
        <f>IF(AND(ABS(Dec!K12)&gt;קריטריונים!$B$2,Dec!B12&gt;קריטריונים!$B$3),Dec!K12,"")</f>
        <v/>
      </c>
      <c r="B11" s="113" t="str">
        <f>IF(AND(ABS(Dec!J12)&gt;קריטריונים!$B$2,Dec!B12&gt;קריטריונים!$B$3),Dec!J12,"")</f>
        <v/>
      </c>
      <c r="C11" s="113" t="str">
        <f>IF(AND(ABS(Dec!F12)&gt;קריטריונים!$B$1,Dec!B12&gt;קריטריונים!$B$3),Dec!F12,"")</f>
        <v/>
      </c>
      <c r="D11" s="113" t="str">
        <f>IF(AND(ABS(Dec!E12)&gt;קריטריונים!$B$1,Dec!B12&gt;קריטריונים!$B$3),Dec!E12,"")</f>
        <v/>
      </c>
      <c r="E11" s="113" t="str">
        <f>IF(AND(ABS(Nov!K12)&gt;קריטריונים!$B$2,Nov!B12&gt;קריטריונים!$B$3),Nov!K12,"")</f>
        <v/>
      </c>
      <c r="F11" s="113" t="str">
        <f>IF(AND(ABS(Nov!J12)&gt;קריטריונים!$B$2,Nov!B12&gt;קריטריונים!$B$3),Nov!J12,"")</f>
        <v/>
      </c>
      <c r="G11" s="113" t="str">
        <f>IF(AND(ABS(Nov!F12)&gt;קריטריונים!$B$1,Nov!B12&gt;קריטריונים!$B$3),Nov!F12,"")</f>
        <v/>
      </c>
      <c r="H11" s="113" t="str">
        <f>IF(AND(ABS(Nov!E12)&gt;קריטריונים!$B$1,Nov!B12&gt;קריטריונים!$B$3),Nov!E12,"")</f>
        <v/>
      </c>
      <c r="I11" s="113" t="str">
        <f>IF(AND(ABS(Oct!K12)&gt;קריטריונים!$B$2,Oct!B12&gt;קריטריונים!$B$3),Oct!K12,"")</f>
        <v/>
      </c>
      <c r="J11" s="113" t="str">
        <f>IF(AND(ABS(Oct!J12)&gt;קריטריונים!$B$2,Oct!B12&gt;קריטריונים!$B$3),Oct!J12,"")</f>
        <v/>
      </c>
      <c r="K11" s="113" t="str">
        <f>IF(AND(ABS(Oct!F12)&gt;קריטריונים!$B$1,Oct!B12&gt;קריטריונים!$B$3),Oct!F12,"")</f>
        <v/>
      </c>
      <c r="L11" s="113" t="str">
        <f>IF(AND(ABS(Oct!E12)&gt;קריטריונים!$B$1,Oct!B12&gt;קריטריונים!$B$3),Oct!E12,"")</f>
        <v/>
      </c>
      <c r="M11" s="113" t="str">
        <f>IF(AND(ABS(Sep!K12)&gt;קריטריונים!$B$2,Sep!B12&gt;קריטריונים!$B$3),Sep!K12,"")</f>
        <v/>
      </c>
      <c r="N11" s="113" t="str">
        <f>IF(AND(ABS(Sep!J12)&gt;קריטריונים!$B$2,Sep!B12&gt;קריטריונים!$B$3),Sep!J12,"")</f>
        <v/>
      </c>
      <c r="O11" s="113" t="str">
        <f>IF(AND(ABS(Sep!F12)&gt;קריטריונים!$B$1,Sep!B12&gt;קריטריונים!$B$3),Sep!F12,"")</f>
        <v/>
      </c>
      <c r="P11" s="113" t="str">
        <f>IF(AND(ABS(Sep!E12)&gt;קריטריונים!$B$1,Sep!B12&gt;קריטריונים!$B$3),Sep!E12,"")</f>
        <v/>
      </c>
      <c r="Q11" s="113" t="str">
        <f>IF(AND(ABS(Aug!K12)&gt;קריטריונים!$B$2,Aug!B12&gt;קריטריונים!$B$3),Aug!K12,"")</f>
        <v/>
      </c>
      <c r="R11" s="113" t="str">
        <f>IF(AND(ABS(Aug!J12)&gt;קריטריונים!$B$2,Aug!B12&gt;קריטריונים!$B$3),Aug!J12,"")</f>
        <v/>
      </c>
      <c r="S11" s="113" t="str">
        <f>IF(AND(ABS(Aug!F12)&gt;קריטריונים!$B$1,Aug!B12&gt;קריטריונים!$B$3),Aug!F12,"")</f>
        <v/>
      </c>
      <c r="T11" s="113" t="str">
        <f>IF(AND(ABS(Aug!E12)&gt;קריטריונים!$B$1,Aug!B12&gt;קריטריונים!$B$3),Aug!E12,"")</f>
        <v/>
      </c>
      <c r="U11" s="113" t="str">
        <f>IF(AND(ABS(Jul!K12)&gt;קריטריונים!$B$2,Jul!B12&gt;קריטריונים!$B$3),Jul!K12,"")</f>
        <v/>
      </c>
      <c r="V11" s="113" t="str">
        <f>IF(AND(ABS(Jul!J12)&gt;קריטריונים!$B$2,Jul!B12&gt;קריטריונים!$B$3),Jul!J12,"")</f>
        <v/>
      </c>
      <c r="W11" s="113" t="str">
        <f>IF(AND(ABS(Jul!F12)&gt;קריטריונים!$B$1,Jul!B12&gt;קריטריונים!$B$3),Jul!F12,"")</f>
        <v/>
      </c>
      <c r="X11" s="113" t="str">
        <f>IF(AND(ABS(Jul!E12)&gt;קריטריונים!$B$1,Jul!B12&gt;קריטריונים!$B$3),Jul!E12,"")</f>
        <v/>
      </c>
      <c r="Y11" s="113" t="str">
        <f>IF(AND(ABS(Jun!K12)&gt;קריטריונים!$B$2,Jun!B12&gt;קריטריונים!$B$3),Jun!K12,"")</f>
        <v/>
      </c>
      <c r="Z11" s="113" t="str">
        <f>IF(AND(ABS(Jun!J12)&gt;קריטריונים!$B$2,Jun!B12&gt;קריטריונים!$B$3),Jun!J12,"")</f>
        <v/>
      </c>
      <c r="AA11" s="113" t="str">
        <f>IF(AND(ABS(Jun!F12)&gt;קריטריונים!$B$1,Jun!B12&gt;קריטריונים!$B$3),Jun!F12,"")</f>
        <v/>
      </c>
      <c r="AB11" s="113" t="str">
        <f>IF(AND(ABS(Jun!E12)&gt;קריטריונים!$B$1,Jun!B12&gt;קריטריונים!$B$3),Jun!E12,"")</f>
        <v/>
      </c>
      <c r="AC11" s="113" t="str">
        <f>IF(AND(ABS(May!K12)&gt;קריטריונים!$B$2,May!B12&gt;קריטריונים!$B$3),May!K12,"")</f>
        <v/>
      </c>
      <c r="AD11" s="113" t="str">
        <f>IF(AND(ABS(May!J12)&gt;קריטריונים!$B$2,May!B12&gt;קריטריונים!$B$3),May!J12,"")</f>
        <v/>
      </c>
      <c r="AE11" s="113" t="str">
        <f>IF(AND(ABS(May!F12)&gt;קריטריונים!$B$1,May!B12&gt;קריטריונים!$B$3),May!F12,"")</f>
        <v/>
      </c>
      <c r="AF11" s="113" t="str">
        <f>IF(AND(ABS(May!E12)&gt;קריטריונים!$B$1,May!B12&gt;קריטריונים!$B$3),May!E12,"")</f>
        <v/>
      </c>
      <c r="AG11" s="113" t="str">
        <f>IF(AND(ABS(Apr!K12)&gt;קריטריונים!$B$2,Apr!B12&gt;קריטריונים!$B$3),Apr!K12,"")</f>
        <v/>
      </c>
      <c r="AH11" s="113" t="str">
        <f>IF(AND(ABS(Apr!J12)&gt;קריטריונים!$B$2,Apr!B12&gt;קריטריונים!$B$3),Apr!J12,"")</f>
        <v/>
      </c>
      <c r="AI11" s="113" t="str">
        <f>IF(AND(ABS(Apr!F12)&gt;קריטריונים!$B$1,Apr!B12&gt;קריטריונים!$B$3),Apr!F12,"")</f>
        <v/>
      </c>
      <c r="AJ11" s="113" t="str">
        <f>IF(AND(ABS(Apr!E12)&gt;קריטריונים!$B$1,Apr!B12&gt;קריטריונים!$B$3),Apr!E12,"")</f>
        <v/>
      </c>
      <c r="AK11" s="113" t="str">
        <f>IF(AND(ABS(Mar!K12)&gt;קריטריונים!$B$2,Mar!B12&gt;קריטריונים!$B$3),Mar!K12,"")</f>
        <v/>
      </c>
      <c r="AL11" s="113" t="str">
        <f>IF(AND(ABS(Mar!J12)&gt;קריטריונים!$B$2,Mar!B12&gt;קריטריונים!$B$3),Mar!J12,"")</f>
        <v/>
      </c>
      <c r="AM11" s="113" t="str">
        <f>IF(AND(ABS(Mar!F12)&gt;קריטריונים!$B$1,Mar!B12&gt;קריטריונים!$B$3),Mar!F12,"")</f>
        <v/>
      </c>
      <c r="AN11" s="113" t="str">
        <f>IF(AND(ABS(Mar!E12)&gt;קריטריונים!$B$1,Mar!B12&gt;קריטריונים!$B$3),Mar!E12,"")</f>
        <v/>
      </c>
      <c r="AO11" s="113" t="str">
        <f>IF(AND(ABS(Feb!K12)&gt;קריטריונים!$B$2,Feb!B12&gt;קריטריונים!$B$3),Feb!K12,"")</f>
        <v/>
      </c>
      <c r="AP11" s="113" t="str">
        <f>IF(AND(ABS(Feb!J12)&gt;קריטריונים!$B$2,Feb!B12&gt;קריטריונים!$B$3),Feb!J12,"")</f>
        <v/>
      </c>
      <c r="AQ11" s="113" t="str">
        <f>IF(AND(ABS(Feb!F12)&gt;קריטריונים!$B$1,Feb!B12&gt;קריטריונים!$B$3),Feb!F12,"")</f>
        <v/>
      </c>
      <c r="AR11" s="113" t="str">
        <f>IF(AND(ABS(Feb!E12)&gt;קריטריונים!$B$1,Feb!B12&gt;קריטריונים!$B$3),Feb!E12,"")</f>
        <v/>
      </c>
      <c r="AS11" s="113" t="str">
        <f>IF(AND(ABS(Jan!F12)&gt;קריטריונים!$B$1,Jan!B12&gt;קריטריונים!$B$3),Jan!F12,"")</f>
        <v/>
      </c>
      <c r="AT11" s="103" t="str">
        <f>IF(AND(ABS(Jan!E12)&gt;קריטריונים!$B$1,Jan!B12&gt;קריטריונים!$B$3),Jan!E12,"")</f>
        <v/>
      </c>
      <c r="AU11" s="118" t="s">
        <v>86</v>
      </c>
      <c r="AV11" s="4"/>
    </row>
    <row r="12" spans="1:49">
      <c r="A12" s="112" t="str">
        <f>IF(AND(ABS(Dec!K13)&gt;קריטריונים!$B$2,Dec!B13&gt;קריטריונים!$B$3),Dec!K13,"")</f>
        <v/>
      </c>
      <c r="B12" s="113" t="str">
        <f>IF(AND(ABS(Dec!J13)&gt;קריטריונים!$B$2,Dec!B13&gt;קריטריונים!$B$3),Dec!J13,"")</f>
        <v/>
      </c>
      <c r="C12" s="113" t="str">
        <f>IF(AND(ABS(Dec!F13)&gt;קריטריונים!$B$1,Dec!B13&gt;קריטריונים!$B$3),Dec!F13,"")</f>
        <v/>
      </c>
      <c r="D12" s="113" t="str">
        <f>IF(AND(ABS(Dec!E13)&gt;קריטריונים!$B$1,Dec!B13&gt;קריטריונים!$B$3),Dec!E13,"")</f>
        <v/>
      </c>
      <c r="E12" s="113">
        <f>IF(AND(ABS(Nov!K13)&gt;קריטריונים!$B$2,Nov!B13&gt;קריטריונים!$B$3),Nov!K13,"")</f>
        <v>1.3947866110693372</v>
      </c>
      <c r="F12" s="113">
        <f>IF(AND(ABS(Nov!J13)&gt;קריטריונים!$B$2,Nov!B13&gt;קריטריונים!$B$3),Nov!J13,"")</f>
        <v>0.46374752792401353</v>
      </c>
      <c r="G12" s="113">
        <f>IF(AND(ABS(Nov!F13)&gt;קריטריונים!$B$1,Nov!B13&gt;קריטריונים!$B$3),Nov!F13,"")</f>
        <v>1.2105875509016872</v>
      </c>
      <c r="H12" s="113">
        <f>IF(AND(ABS(Nov!E13)&gt;קריטריונים!$B$1,Nov!B13&gt;קריטריונים!$B$3),Nov!E13,"")</f>
        <v>5.6631754564834713E-2</v>
      </c>
      <c r="I12" s="113">
        <f>IF(AND(ABS(Oct!K13)&gt;קריטריונים!$B$2,Oct!B13&gt;קריטריונים!$B$3),Oct!K13,"")</f>
        <v>1.4193131939065329</v>
      </c>
      <c r="J12" s="113">
        <f>IF(AND(ABS(Oct!J13)&gt;קריטריונים!$B$2,Oct!B13&gt;קריטריונים!$B$3),Oct!J13,"")</f>
        <v>0.53573828528346445</v>
      </c>
      <c r="K12" s="113">
        <f>IF(AND(ABS(Oct!F13)&gt;קריטריונים!$B$1,Oct!B13&gt;קריטריונים!$B$3),Oct!F13,"")</f>
        <v>1.2058823529411766</v>
      </c>
      <c r="L12" s="113">
        <f>IF(AND(ABS(Oct!E13)&gt;קריטריונים!$B$1,Oct!B13&gt;קריטריונים!$B$3),Oct!E13,"")</f>
        <v>0.74533915113050386</v>
      </c>
      <c r="M12" s="113">
        <f>IF(AND(ABS(Sep!K13)&gt;קריטריונים!$B$2,Sep!B13&gt;קריטריונים!$B$3),Sep!K13,"")</f>
        <v>1.4583155194527575</v>
      </c>
      <c r="N12" s="113">
        <f>IF(AND(ABS(Sep!J13)&gt;קריטריונים!$B$2,Sep!B13&gt;קריטריונים!$B$3),Sep!J13,"")</f>
        <v>0.50608044901777394</v>
      </c>
      <c r="O12" s="113">
        <f>IF(AND(ABS(Sep!F13)&gt;קריטריונים!$B$1,Sep!B13&gt;קריטריונים!$B$3),Sep!F13,"")</f>
        <v>0.95953141640042605</v>
      </c>
      <c r="P12" s="113">
        <f>IF(AND(ABS(Sep!E13)&gt;קריטריונים!$B$1,Sep!B13&gt;קריטריונים!$B$3),Sep!E13,"")</f>
        <v>4.6167841710257118E-2</v>
      </c>
      <c r="Q12" s="113">
        <f>IF(AND(ABS(Aug!K13)&gt;קריטריונים!$B$2,Aug!B13&gt;קריטריונים!$B$3),Aug!K13,"")</f>
        <v>1.5417988663505757</v>
      </c>
      <c r="R12" s="113">
        <f>IF(AND(ABS(Aug!J13)&gt;קריטריונים!$B$2,Aug!B13&gt;קריטריונים!$B$3),Aug!J13,"")</f>
        <v>0.59664994625582257</v>
      </c>
      <c r="S12" s="113">
        <f>IF(AND(ABS(Aug!F13)&gt;קריטריונים!$B$1,Aug!B13&gt;קריטריונים!$B$3),Aug!F13,"")</f>
        <v>1.5848765432098766</v>
      </c>
      <c r="T12" s="113">
        <f>IF(AND(ABS(Aug!E13)&gt;קריטריונים!$B$1,Aug!B13&gt;קריטריונים!$B$3),Aug!E13,"")</f>
        <v>0.15041208791208804</v>
      </c>
      <c r="U12" s="113">
        <f>IF(AND(ABS(Jul!K13)&gt;קריטריונים!$B$2,Jul!B13&gt;קריטריונים!$B$3),Jul!K13,"")</f>
        <v>1.302948201490143</v>
      </c>
      <c r="V12" s="113">
        <f>IF(AND(ABS(Jul!J13)&gt;קריטריונים!$B$2,Jul!B13&gt;קריטריונים!$B$3),Jul!J13,"")</f>
        <v>0.66357643180881754</v>
      </c>
      <c r="W12" s="113">
        <f>IF(AND(ABS(Jul!F13)&gt;קריטריונים!$B$1,Jul!B13&gt;קריטריונים!$B$3),Jul!F13,"")</f>
        <v>1.5107367030062768</v>
      </c>
      <c r="X12" s="113">
        <f>IF(AND(ABS(Jul!E13)&gt;קריטריונים!$B$1,Jul!B13&gt;קריטריונים!$B$3),Jul!E13,"")</f>
        <v>0.18583242315493842</v>
      </c>
      <c r="Y12" s="113">
        <f>IF(AND(ABS(Jun!K13)&gt;קריטריונים!$B$2,Jun!B13&gt;קריטריונים!$B$3),Jun!K13,"")</f>
        <v>1.5272678903963821</v>
      </c>
      <c r="Z12" s="113">
        <f>IF(AND(ABS(Jun!J13)&gt;קריטריונים!$B$2,Jun!B13&gt;קריטריונים!$B$3),Jun!J13,"")</f>
        <v>0.75801128828300923</v>
      </c>
      <c r="AA12" s="113">
        <f>IF(AND(ABS(Jun!F13)&gt;קריטריונים!$B$1,Jun!B13&gt;קריטריונים!$B$3),Jun!F13,"")</f>
        <v>1.218658112804063</v>
      </c>
      <c r="AB12" s="113">
        <f>IF(AND(ABS(Jun!E13)&gt;קריטריונים!$B$1,Jun!B13&gt;קריטריונים!$B$3),Jun!E13,"")</f>
        <v>0.14561766735679793</v>
      </c>
      <c r="AC12" s="113">
        <f>IF(AND(ABS(May!K13)&gt;קריטריונים!$B$2,May!B13&gt;קריטריונים!$B$3),May!K13,"")</f>
        <v>1.6055320742603389</v>
      </c>
      <c r="AD12" s="113">
        <f>IF(AND(ABS(May!J13)&gt;קריטריונים!$B$2,May!B13&gt;קריטריונים!$B$3),May!J13,"")</f>
        <v>0.93422829454285483</v>
      </c>
      <c r="AE12" s="113">
        <f>IF(AND(ABS(May!F13)&gt;קריטריונים!$B$1,May!B13&gt;קריטריונים!$B$3),May!F13,"")</f>
        <v>1.5494071146245063</v>
      </c>
      <c r="AF12" s="113">
        <f>IF(AND(ABS(May!E13)&gt;קריטריונים!$B$1,May!B13&gt;קריטריונים!$B$3),May!E13,"")</f>
        <v>0.50157141194273103</v>
      </c>
      <c r="AG12" s="113">
        <f>IF(AND(ABS(Apr!K13)&gt;קריטריונים!$B$2,Apr!B13&gt;קריטריונים!$B$3),Apr!K13,"")</f>
        <v>1.6263663707725038</v>
      </c>
      <c r="AH12" s="113">
        <f>IF(AND(ABS(Apr!J13)&gt;קריטריונים!$B$2,Apr!B13&gt;קריטריונים!$B$3),Apr!J13,"")</f>
        <v>1.1583167540845238</v>
      </c>
      <c r="AI12" s="113">
        <f>IF(AND(ABS(Apr!F13)&gt;קריטריונים!$B$1,Apr!B13&gt;קריטריונים!$B$3),Apr!F13,"")</f>
        <v>1.2727272727272729</v>
      </c>
      <c r="AJ12" s="113">
        <f>IF(AND(ABS(Apr!E13)&gt;קריטריונים!$B$1,Apr!B13&gt;קריטריונים!$B$3),Apr!E13,"")</f>
        <v>0.75359712230215803</v>
      </c>
      <c r="AK12" s="113">
        <f>IF(AND(ABS(Mar!K13)&gt;קריטריונים!$B$2,Mar!B13&gt;קריטריונים!$B$3),Mar!K13,"")</f>
        <v>1.7453671928620453</v>
      </c>
      <c r="AL12" s="113">
        <f>IF(AND(ABS(Mar!J13)&gt;קריטריונים!$B$2,Mar!B13&gt;קריטריונים!$B$3),Mar!J13,"")</f>
        <v>1.306615042425241</v>
      </c>
      <c r="AM12" s="113">
        <f>IF(AND(ABS(Mar!F13)&gt;קריטריונים!$B$1,Mar!B13&gt;קריטריונים!$B$3),Mar!F13,"")</f>
        <v>2.0372492836676215</v>
      </c>
      <c r="AN12" s="113">
        <f>IF(AND(ABS(Mar!E13)&gt;קריטריונים!$B$1,Mar!B13&gt;קריטריונים!$B$3),Mar!E13,"")</f>
        <v>1.3068552774755169</v>
      </c>
      <c r="AO12" s="113">
        <f>IF(AND(ABS(Feb!K13)&gt;קריטריונים!$B$2,Feb!B13&gt;קריטריונים!$B$3),Feb!K13,"")</f>
        <v>1.5935310776568787</v>
      </c>
      <c r="AP12" s="113">
        <f>IF(AND(ABS(Feb!J13)&gt;קריטריונים!$B$2,Feb!B13&gt;קריטריונים!$B$3),Feb!J13,"")</f>
        <v>1.3064687168610813</v>
      </c>
      <c r="AQ12" s="113">
        <f>IF(AND(ABS(Feb!F13)&gt;קריטריונים!$B$1,Feb!B13&gt;קריטריונים!$B$3),Feb!F13,"")</f>
        <v>0.79117518567059819</v>
      </c>
      <c r="AR12" s="113">
        <f>IF(AND(ABS(Feb!E13)&gt;קריטריונים!$B$1,Feb!B13&gt;קריטריונים!$B$3),Feb!E13,"")</f>
        <v>0.82872435325602134</v>
      </c>
      <c r="AS12" s="113">
        <f>IF(AND(ABS(Jan!F13)&gt;קריטריונים!$B$1,Jan!B13&gt;קריטריונים!$B$3),Jan!F13,"")</f>
        <v>3.3172219615204135</v>
      </c>
      <c r="AT12" s="103">
        <f>IF(AND(ABS(Jan!E13)&gt;קריטריונים!$B$1,Jan!B13&gt;קריטריונים!$B$3),Jan!E13,"")</f>
        <v>2.0065359477124178</v>
      </c>
      <c r="AU12" s="118" t="s">
        <v>8</v>
      </c>
      <c r="AV12" s="4"/>
    </row>
    <row r="13" spans="1:49">
      <c r="A13" s="112" t="str">
        <f>IF(AND(ABS(Dec!K14)&gt;קריטריונים!$B$2,Dec!B14&gt;קריטריונים!$B$3),Dec!K14,"")</f>
        <v/>
      </c>
      <c r="B13" s="113" t="str">
        <f>IF(AND(ABS(Dec!J14)&gt;קריטריונים!$B$2,Dec!B14&gt;קריטריונים!$B$3),Dec!J14,"")</f>
        <v/>
      </c>
      <c r="C13" s="113" t="str">
        <f>IF(AND(ABS(Dec!F14)&gt;קריטריונים!$B$1,Dec!B14&gt;קריטריונים!$B$3),Dec!F14,"")</f>
        <v/>
      </c>
      <c r="D13" s="113" t="str">
        <f>IF(AND(ABS(Dec!E14)&gt;קריטריונים!$B$1,Dec!B14&gt;קריטריונים!$B$3),Dec!E14,"")</f>
        <v/>
      </c>
      <c r="E13" s="113">
        <f>IF(AND(ABS(Nov!K14)&gt;קריטריונים!$B$2,Nov!B14&gt;קריטריונים!$B$3),Nov!K14,"")</f>
        <v>0.68214090660841076</v>
      </c>
      <c r="F13" s="113">
        <f>IF(AND(ABS(Nov!J14)&gt;קריטריונים!$B$2,Nov!B14&gt;קריטריונים!$B$3),Nov!J14,"")</f>
        <v>0.43952140587025612</v>
      </c>
      <c r="G13" s="113">
        <f>IF(AND(ABS(Nov!F14)&gt;קריטריונים!$B$1,Nov!B14&gt;קריטריונים!$B$3),Nov!F14,"")</f>
        <v>1.5139664804469275</v>
      </c>
      <c r="H13" s="113">
        <f>IF(AND(ABS(Nov!E14)&gt;קריטריונים!$B$1,Nov!B14&gt;קריטריונים!$B$3),Nov!E14,"")</f>
        <v>0.38996138996139007</v>
      </c>
      <c r="I13" s="113" t="str">
        <f>IF(AND(ABS(Oct!K14)&gt;קריטריונים!$B$2,Oct!B14&gt;קריטריונים!$B$3),Oct!K14,"")</f>
        <v/>
      </c>
      <c r="J13" s="113" t="str">
        <f>IF(AND(ABS(Oct!J14)&gt;קריטריונים!$B$2,Oct!B14&gt;קריטריונים!$B$3),Oct!J14,"")</f>
        <v/>
      </c>
      <c r="K13" s="113" t="str">
        <f>IF(AND(ABS(Oct!F14)&gt;קריטריונים!$B$1,Oct!B14&gt;קריטריונים!$B$3),Oct!F14,"")</f>
        <v/>
      </c>
      <c r="L13" s="113" t="str">
        <f>IF(AND(ABS(Oct!E14)&gt;קריטריונים!$B$1,Oct!B14&gt;קריטריונים!$B$3),Oct!E14,"")</f>
        <v/>
      </c>
      <c r="M13" s="113">
        <f>IF(AND(ABS(Sep!K14)&gt;קריטריונים!$B$2,Sep!B14&gt;קריטריונים!$B$3),Sep!K14,"")</f>
        <v>0.64044641656581947</v>
      </c>
      <c r="N13" s="113">
        <f>IF(AND(ABS(Sep!J14)&gt;קריטריונים!$B$2,Sep!B14&gt;קריטריונים!$B$3),Sep!J14,"")</f>
        <v>0.43091719446399246</v>
      </c>
      <c r="O13" s="113">
        <f>IF(AND(ABS(Sep!F14)&gt;קריטריונים!$B$1,Sep!B14&gt;קריטריונים!$B$3),Sep!F14,"")</f>
        <v>1.0278833967046896</v>
      </c>
      <c r="P13" s="113">
        <f>IF(AND(ABS(Sep!E14)&gt;קריטריונים!$B$1,Sep!B14&gt;קריטריונים!$B$3),Sep!E14,"")</f>
        <v>0.21212121212121215</v>
      </c>
      <c r="Q13" s="113" t="str">
        <f>IF(AND(ABS(Aug!K14)&gt;קריטריונים!$B$2,Aug!B14&gt;קריטריונים!$B$3),Aug!K14,"")</f>
        <v/>
      </c>
      <c r="R13" s="113" t="str">
        <f>IF(AND(ABS(Aug!J14)&gt;קריטריונים!$B$2,Aug!B14&gt;קריטריונים!$B$3),Aug!J14,"")</f>
        <v/>
      </c>
      <c r="S13" s="113" t="str">
        <f>IF(AND(ABS(Aug!F14)&gt;קריטריונים!$B$1,Aug!B14&gt;קריטריונים!$B$3),Aug!F14,"")</f>
        <v/>
      </c>
      <c r="T13" s="113" t="str">
        <f>IF(AND(ABS(Aug!E14)&gt;קריטריונים!$B$1,Aug!B14&gt;קריטריונים!$B$3),Aug!E14,"")</f>
        <v/>
      </c>
      <c r="U13" s="113" t="str">
        <f>IF(AND(ABS(Jul!K14)&gt;קריטריונים!$B$2,Jul!B14&gt;קריטריונים!$B$3),Jul!K14,"")</f>
        <v/>
      </c>
      <c r="V13" s="113" t="str">
        <f>IF(AND(ABS(Jul!J14)&gt;קריטריונים!$B$2,Jul!B14&gt;קריטריונים!$B$3),Jul!J14,"")</f>
        <v/>
      </c>
      <c r="W13" s="113" t="str">
        <f>IF(AND(ABS(Jul!F14)&gt;קריטריונים!$B$1,Jul!B14&gt;קריטריונים!$B$3),Jul!F14,"")</f>
        <v/>
      </c>
      <c r="X13" s="113" t="str">
        <f>IF(AND(ABS(Jul!E14)&gt;קריטריונים!$B$1,Jul!B14&gt;קריטריונים!$B$3),Jul!E14,"")</f>
        <v/>
      </c>
      <c r="Y13" s="113" t="str">
        <f>IF(AND(ABS(Jun!K14)&gt;קריטריונים!$B$2,Jun!B14&gt;קריטריונים!$B$3),Jun!K14,"")</f>
        <v/>
      </c>
      <c r="Z13" s="113" t="str">
        <f>IF(AND(ABS(Jun!J14)&gt;קריטריונים!$B$2,Jun!B14&gt;קריטריונים!$B$3),Jun!J14,"")</f>
        <v/>
      </c>
      <c r="AA13" s="113" t="str">
        <f>IF(AND(ABS(Jun!F14)&gt;קריטריונים!$B$1,Jun!B14&gt;קריטריונים!$B$3),Jun!F14,"")</f>
        <v/>
      </c>
      <c r="AB13" s="113" t="str">
        <f>IF(AND(ABS(Jun!E14)&gt;קריטריונים!$B$1,Jun!B14&gt;קריטריונים!$B$3),Jun!E14,"")</f>
        <v/>
      </c>
      <c r="AC13" s="113" t="str">
        <f>IF(AND(ABS(May!K14)&gt;קריטריונים!$B$2,May!B14&gt;קריטריונים!$B$3),May!K14,"")</f>
        <v/>
      </c>
      <c r="AD13" s="113" t="str">
        <f>IF(AND(ABS(May!J14)&gt;קריטריונים!$B$2,May!B14&gt;קריטריונים!$B$3),May!J14,"")</f>
        <v/>
      </c>
      <c r="AE13" s="113" t="str">
        <f>IF(AND(ABS(May!F14)&gt;קריטריונים!$B$1,May!B14&gt;קריטריונים!$B$3),May!F14,"")</f>
        <v/>
      </c>
      <c r="AF13" s="113" t="str">
        <f>IF(AND(ABS(May!E14)&gt;קריטריונים!$B$1,May!B14&gt;קריטריונים!$B$3),May!E14,"")</f>
        <v/>
      </c>
      <c r="AG13" s="113" t="str">
        <f>IF(AND(ABS(Apr!K14)&gt;קריטריונים!$B$2,Apr!B14&gt;קריטריונים!$B$3),Apr!K14,"")</f>
        <v/>
      </c>
      <c r="AH13" s="113" t="str">
        <f>IF(AND(ABS(Apr!J14)&gt;קריטריונים!$B$2,Apr!B14&gt;קריטריונים!$B$3),Apr!J14,"")</f>
        <v/>
      </c>
      <c r="AI13" s="113" t="str">
        <f>IF(AND(ABS(Apr!F14)&gt;קריטריונים!$B$1,Apr!B14&gt;קריטריונים!$B$3),Apr!F14,"")</f>
        <v/>
      </c>
      <c r="AJ13" s="113" t="str">
        <f>IF(AND(ABS(Apr!E14)&gt;קריטריונים!$B$1,Apr!B14&gt;קריטריונים!$B$3),Apr!E14,"")</f>
        <v/>
      </c>
      <c r="AK13" s="113">
        <f>IF(AND(ABS(Mar!K14)&gt;קריטריונים!$B$2,Mar!B14&gt;קריטריונים!$B$3),Mar!K14,"")</f>
        <v>0.31199999999999961</v>
      </c>
      <c r="AL13" s="113">
        <f>IF(AND(ABS(Mar!J14)&gt;קריטריונים!$B$2,Mar!B14&gt;קריטריונים!$B$3),Mar!J14,"")</f>
        <v>0.51347360649686213</v>
      </c>
      <c r="AM13" s="113">
        <f>IF(AND(ABS(Mar!F14)&gt;קריטריונים!$B$1,Mar!B14&gt;קריטריונים!$B$3),Mar!F14,"")</f>
        <v>0.75054704595185995</v>
      </c>
      <c r="AN13" s="113">
        <f>IF(AND(ABS(Mar!E14)&gt;קריטריונים!$B$1,Mar!B14&gt;קריטריונים!$B$3),Mar!E14,"")</f>
        <v>0.53846153846153855</v>
      </c>
      <c r="AO13" s="113" t="str">
        <f>IF(AND(ABS(Feb!K14)&gt;קריטריונים!$B$2,Feb!B14&gt;קריטריונים!$B$3),Feb!K14,"")</f>
        <v/>
      </c>
      <c r="AP13" s="113" t="str">
        <f>IF(AND(ABS(Feb!J14)&gt;קריטריונים!$B$2,Feb!B14&gt;קריטריונים!$B$3),Feb!J14,"")</f>
        <v/>
      </c>
      <c r="AQ13" s="113" t="str">
        <f>IF(AND(ABS(Feb!F14)&gt;קריטריונים!$B$1,Feb!B14&gt;קריטריונים!$B$3),Feb!F14,"")</f>
        <v/>
      </c>
      <c r="AR13" s="113" t="str">
        <f>IF(AND(ABS(Feb!E14)&gt;קריטריונים!$B$1,Feb!B14&gt;קריטריונים!$B$3),Feb!E14,"")</f>
        <v/>
      </c>
      <c r="AS13" s="113" t="str">
        <f>IF(AND(ABS(Jan!F14)&gt;קריטריונים!$B$1,Jan!B14&gt;קריטריונים!$B$3),Jan!F14,"")</f>
        <v/>
      </c>
      <c r="AT13" s="103" t="str">
        <f>IF(AND(ABS(Jan!E14)&gt;קריטריונים!$B$1,Jan!B14&gt;קריטריונים!$B$3),Jan!E14,"")</f>
        <v/>
      </c>
      <c r="AU13" s="118" t="s">
        <v>9</v>
      </c>
      <c r="AV13" s="4"/>
    </row>
    <row r="14" spans="1:49">
      <c r="A14" s="112" t="str">
        <f>IF(AND(ABS(Dec!K15)&gt;קריטריונים!$B$2,Dec!B15&gt;קריטריונים!$B$3),Dec!K15,"")</f>
        <v/>
      </c>
      <c r="B14" s="113" t="str">
        <f>IF(AND(ABS(Dec!J15)&gt;קריטריונים!$B$2,Dec!B15&gt;קריטריונים!$B$3),Dec!J15,"")</f>
        <v/>
      </c>
      <c r="C14" s="113" t="str">
        <f>IF(AND(ABS(Dec!F15)&gt;קריטריונים!$B$1,Dec!B15&gt;קריטריונים!$B$3),Dec!F15,"")</f>
        <v/>
      </c>
      <c r="D14" s="113" t="str">
        <f>IF(AND(ABS(Dec!E15)&gt;קריטריונים!$B$1,Dec!B15&gt;קריטריונים!$B$3),Dec!E15,"")</f>
        <v/>
      </c>
      <c r="E14" s="113" t="str">
        <f>IF(AND(ABS(Nov!K15)&gt;קריטריונים!$B$2,Nov!B15&gt;קריטריונים!$B$3),Nov!K15,"")</f>
        <v/>
      </c>
      <c r="F14" s="113" t="str">
        <f>IF(AND(ABS(Nov!J15)&gt;קריטריונים!$B$2,Nov!B15&gt;קריטריונים!$B$3),Nov!J15,"")</f>
        <v/>
      </c>
      <c r="G14" s="113" t="str">
        <f>IF(AND(ABS(Nov!F15)&gt;קריטריונים!$B$1,Nov!B15&gt;קריטריונים!$B$3),Nov!F15,"")</f>
        <v/>
      </c>
      <c r="H14" s="113" t="str">
        <f>IF(AND(ABS(Nov!E15)&gt;קריטריונים!$B$1,Nov!B15&gt;קריטריונים!$B$3),Nov!E15,"")</f>
        <v/>
      </c>
      <c r="I14" s="113" t="str">
        <f>IF(AND(ABS(Oct!K15)&gt;קריטריונים!$B$2,Oct!B15&gt;קריטריונים!$B$3),Oct!K15,"")</f>
        <v/>
      </c>
      <c r="J14" s="113" t="str">
        <f>IF(AND(ABS(Oct!J15)&gt;קריטריונים!$B$2,Oct!B15&gt;קריטריונים!$B$3),Oct!J15,"")</f>
        <v/>
      </c>
      <c r="K14" s="113" t="str">
        <f>IF(AND(ABS(Oct!F15)&gt;קריטריונים!$B$1,Oct!B15&gt;קריטריונים!$B$3),Oct!F15,"")</f>
        <v/>
      </c>
      <c r="L14" s="113" t="str">
        <f>IF(AND(ABS(Oct!E15)&gt;קריטריונים!$B$1,Oct!B15&gt;קריטריונים!$B$3),Oct!E15,"")</f>
        <v/>
      </c>
      <c r="M14" s="113" t="str">
        <f>IF(AND(ABS(Sep!K15)&gt;קריטריונים!$B$2,Sep!B15&gt;קריטריונים!$B$3),Sep!K15,"")</f>
        <v/>
      </c>
      <c r="N14" s="113" t="str">
        <f>IF(AND(ABS(Sep!J15)&gt;קריטריונים!$B$2,Sep!B15&gt;קריטריונים!$B$3),Sep!J15,"")</f>
        <v/>
      </c>
      <c r="O14" s="113" t="str">
        <f>IF(AND(ABS(Sep!F15)&gt;קריטריונים!$B$1,Sep!B15&gt;קריטריונים!$B$3),Sep!F15,"")</f>
        <v/>
      </c>
      <c r="P14" s="113" t="str">
        <f>IF(AND(ABS(Sep!E15)&gt;קריטריונים!$B$1,Sep!B15&gt;קריטריונים!$B$3),Sep!E15,"")</f>
        <v/>
      </c>
      <c r="Q14" s="113" t="str">
        <f>IF(AND(ABS(Aug!K15)&gt;קריטריונים!$B$2,Aug!B15&gt;קריטריונים!$B$3),Aug!K15,"")</f>
        <v/>
      </c>
      <c r="R14" s="113" t="str">
        <f>IF(AND(ABS(Aug!J15)&gt;קריטריונים!$B$2,Aug!B15&gt;קריטריונים!$B$3),Aug!J15,"")</f>
        <v/>
      </c>
      <c r="S14" s="113" t="str">
        <f>IF(AND(ABS(Aug!F15)&gt;קריטריונים!$B$1,Aug!B15&gt;קריטריונים!$B$3),Aug!F15,"")</f>
        <v/>
      </c>
      <c r="T14" s="113" t="str">
        <f>IF(AND(ABS(Aug!E15)&gt;קריטריונים!$B$1,Aug!B15&gt;קריטריונים!$B$3),Aug!E15,"")</f>
        <v/>
      </c>
      <c r="U14" s="113" t="str">
        <f>IF(AND(ABS(Jul!K15)&gt;קריטריונים!$B$2,Jul!B15&gt;קריטריונים!$B$3),Jul!K15,"")</f>
        <v/>
      </c>
      <c r="V14" s="113" t="str">
        <f>IF(AND(ABS(Jul!J15)&gt;קריטריונים!$B$2,Jul!B15&gt;קריטריונים!$B$3),Jul!J15,"")</f>
        <v/>
      </c>
      <c r="W14" s="113" t="str">
        <f>IF(AND(ABS(Jul!F15)&gt;קריטריונים!$B$1,Jul!B15&gt;קריטריונים!$B$3),Jul!F15,"")</f>
        <v/>
      </c>
      <c r="X14" s="113" t="str">
        <f>IF(AND(ABS(Jul!E15)&gt;קריטריונים!$B$1,Jul!B15&gt;קריטריונים!$B$3),Jul!E15,"")</f>
        <v/>
      </c>
      <c r="Y14" s="113" t="str">
        <f>IF(AND(ABS(Jun!K15)&gt;קריטריונים!$B$2,Jun!B15&gt;קריטריונים!$B$3),Jun!K15,"")</f>
        <v/>
      </c>
      <c r="Z14" s="113" t="str">
        <f>IF(AND(ABS(Jun!J15)&gt;קריטריונים!$B$2,Jun!B15&gt;קריטריונים!$B$3),Jun!J15,"")</f>
        <v/>
      </c>
      <c r="AA14" s="113" t="str">
        <f>IF(AND(ABS(Jun!F15)&gt;קריטריונים!$B$1,Jun!B15&gt;קריטריונים!$B$3),Jun!F15,"")</f>
        <v/>
      </c>
      <c r="AB14" s="113" t="str">
        <f>IF(AND(ABS(Jun!E15)&gt;קריטריונים!$B$1,Jun!B15&gt;קריטריונים!$B$3),Jun!E15,"")</f>
        <v/>
      </c>
      <c r="AC14" s="113" t="str">
        <f>IF(AND(ABS(May!K15)&gt;קריטריונים!$B$2,May!B15&gt;קריטריונים!$B$3),May!K15,"")</f>
        <v/>
      </c>
      <c r="AD14" s="113" t="str">
        <f>IF(AND(ABS(May!J15)&gt;קריטריונים!$B$2,May!B15&gt;קריטריונים!$B$3),May!J15,"")</f>
        <v/>
      </c>
      <c r="AE14" s="113" t="str">
        <f>IF(AND(ABS(May!F15)&gt;קריטריונים!$B$1,May!B15&gt;קריטריונים!$B$3),May!F15,"")</f>
        <v/>
      </c>
      <c r="AF14" s="113" t="str">
        <f>IF(AND(ABS(May!E15)&gt;קריטריונים!$B$1,May!B15&gt;קריטריונים!$B$3),May!E15,"")</f>
        <v/>
      </c>
      <c r="AG14" s="113" t="str">
        <f>IF(AND(ABS(Apr!K15)&gt;קריטריונים!$B$2,Apr!B15&gt;קריטריונים!$B$3),Apr!K15,"")</f>
        <v/>
      </c>
      <c r="AH14" s="113" t="str">
        <f>IF(AND(ABS(Apr!J15)&gt;קריטריונים!$B$2,Apr!B15&gt;קריטריונים!$B$3),Apr!J15,"")</f>
        <v/>
      </c>
      <c r="AI14" s="113" t="str">
        <f>IF(AND(ABS(Apr!F15)&gt;קריטריונים!$B$1,Apr!B15&gt;קריטריונים!$B$3),Apr!F15,"")</f>
        <v/>
      </c>
      <c r="AJ14" s="113" t="str">
        <f>IF(AND(ABS(Apr!E15)&gt;קריטריונים!$B$1,Apr!B15&gt;קריטריונים!$B$3),Apr!E15,"")</f>
        <v/>
      </c>
      <c r="AK14" s="113" t="str">
        <f>IF(AND(ABS(Mar!K15)&gt;קריטריונים!$B$2,Mar!B15&gt;קריטריונים!$B$3),Mar!K15,"")</f>
        <v/>
      </c>
      <c r="AL14" s="113" t="str">
        <f>IF(AND(ABS(Mar!J15)&gt;קריטריונים!$B$2,Mar!B15&gt;קריטריונים!$B$3),Mar!J15,"")</f>
        <v/>
      </c>
      <c r="AM14" s="113" t="str">
        <f>IF(AND(ABS(Mar!F15)&gt;קריטריונים!$B$1,Mar!B15&gt;קריטריונים!$B$3),Mar!F15,"")</f>
        <v/>
      </c>
      <c r="AN14" s="113" t="str">
        <f>IF(AND(ABS(Mar!E15)&gt;קריטריונים!$B$1,Mar!B15&gt;קריטריונים!$B$3),Mar!E15,"")</f>
        <v/>
      </c>
      <c r="AO14" s="113" t="str">
        <f>IF(AND(ABS(Feb!K15)&gt;קריטריונים!$B$2,Feb!B15&gt;קריטריונים!$B$3),Feb!K15,"")</f>
        <v/>
      </c>
      <c r="AP14" s="113" t="str">
        <f>IF(AND(ABS(Feb!J15)&gt;קריטריונים!$B$2,Feb!B15&gt;קריטריונים!$B$3),Feb!J15,"")</f>
        <v/>
      </c>
      <c r="AQ14" s="113" t="str">
        <f>IF(AND(ABS(Feb!F15)&gt;קריטריונים!$B$1,Feb!B15&gt;קריטריונים!$B$3),Feb!F15,"")</f>
        <v/>
      </c>
      <c r="AR14" s="113" t="str">
        <f>IF(AND(ABS(Feb!E15)&gt;קריטריונים!$B$1,Feb!B15&gt;קריטריונים!$B$3),Feb!E15,"")</f>
        <v/>
      </c>
      <c r="AS14" s="113" t="str">
        <f>IF(AND(ABS(Jan!F15)&gt;קריטריונים!$B$1,Jan!B15&gt;קריטריונים!$B$3),Jan!F15,"")</f>
        <v/>
      </c>
      <c r="AT14" s="103" t="str">
        <f>IF(AND(ABS(Jan!E15)&gt;קריטריונים!$B$1,Jan!B15&gt;קריטריונים!$B$3),Jan!E15,"")</f>
        <v/>
      </c>
      <c r="AU14" s="118" t="s">
        <v>10</v>
      </c>
      <c r="AV14" s="4"/>
    </row>
    <row r="15" spans="1:49">
      <c r="A15" s="112" t="str">
        <f>IF(AND(ABS(Dec!K16)&gt;קריטריונים!$B$2,Dec!B16&gt;קריטריונים!$B$3),Dec!K16,"")</f>
        <v/>
      </c>
      <c r="B15" s="113" t="str">
        <f>IF(AND(ABS(Dec!J16)&gt;קריטריונים!$B$2,Dec!B16&gt;קריטריונים!$B$3),Dec!J16,"")</f>
        <v/>
      </c>
      <c r="C15" s="113" t="str">
        <f>IF(AND(ABS(Dec!F16)&gt;קריטריונים!$B$1,Dec!B16&gt;קריטריונים!$B$3),Dec!F16,"")</f>
        <v/>
      </c>
      <c r="D15" s="113" t="str">
        <f>IF(AND(ABS(Dec!E16)&gt;קריטריונים!$B$1,Dec!B16&gt;קריטריונים!$B$3),Dec!E16,"")</f>
        <v/>
      </c>
      <c r="E15" s="113">
        <f>IF(AND(ABS(Nov!K16)&gt;קריטריונים!$B$2,Nov!B16&gt;קריטריונים!$B$3),Nov!K16,"")</f>
        <v>0.77740160812526438</v>
      </c>
      <c r="F15" s="113">
        <f>IF(AND(ABS(Nov!J16)&gt;קריטריונים!$B$2,Nov!B16&gt;קריטריונים!$B$3),Nov!J16,"")</f>
        <v>0.42372881355932202</v>
      </c>
      <c r="G15" s="113">
        <f>IF(AND(ABS(Nov!F16)&gt;קריטריונים!$B$1,Nov!B16&gt;קריטריונים!$B$3),Nov!F16,"")</f>
        <v>2.0669895076674734</v>
      </c>
      <c r="H15" s="113">
        <f>IF(AND(ABS(Nov!E16)&gt;קריטריונים!$B$1,Nov!B16&gt;קריטריונים!$B$3),Nov!E16,"")</f>
        <v>0.80436847103513776</v>
      </c>
      <c r="I15" s="113">
        <f>IF(AND(ABS(Oct!K16)&gt;קריטריונים!$B$2,Oct!B16&gt;קריטריונים!$B$3),Oct!K16,"")</f>
        <v>0.69762332734172161</v>
      </c>
      <c r="J15" s="113">
        <f>IF(AND(ABS(Oct!J16)&gt;קריטריונים!$B$2,Oct!B16&gt;קריטריונים!$B$3),Oct!J16,"")</f>
        <v>0.39093438062510222</v>
      </c>
      <c r="K15" s="113">
        <f>IF(AND(ABS(Oct!F16)&gt;קריטריונים!$B$1,Oct!B16&gt;קריטריונים!$B$3),Oct!F16,"")</f>
        <v>1.4425989252564726</v>
      </c>
      <c r="L15" s="113">
        <f>IF(AND(ABS(Oct!E16)&gt;קריטריונים!$B$1,Oct!B16&gt;קריטריונים!$B$3),Oct!E16,"")</f>
        <v>1.3507287259050309</v>
      </c>
      <c r="M15" s="113">
        <f>IF(AND(ABS(Sep!K16)&gt;קריטריונים!$B$2,Sep!B16&gt;קריטריונים!$B$3),Sep!K16,"")</f>
        <v>0.61281352538790945</v>
      </c>
      <c r="N15" s="113">
        <f>IF(AND(ABS(Sep!J16)&gt;קריטריונים!$B$2,Sep!B16&gt;קריטריונים!$B$3),Sep!J16,"")</f>
        <v>0.29945781242998626</v>
      </c>
      <c r="O15" s="113">
        <f>IF(AND(ABS(Sep!F16)&gt;קריטריונים!$B$1,Sep!B16&gt;קריטריונים!$B$3),Sep!F16,"")</f>
        <v>0.42566191446028512</v>
      </c>
      <c r="P15" s="113">
        <f>IF(AND(ABS(Sep!E16)&gt;קריטריונים!$B$1,Sep!B16&gt;קריטריונים!$B$3),Sep!E16,"")</f>
        <v>0.10019646365422386</v>
      </c>
      <c r="Q15" s="113">
        <f>IF(AND(ABS(Aug!K16)&gt;קריטריונים!$B$2,Aug!B16&gt;קריטריונים!$B$3),Aug!K16,"")</f>
        <v>0.63576200287194884</v>
      </c>
      <c r="R15" s="113">
        <f>IF(AND(ABS(Aug!J16)&gt;קריטריונים!$B$2,Aug!B16&gt;קריטריונים!$B$3),Aug!J16,"")</f>
        <v>0.32510621080315594</v>
      </c>
      <c r="S15" s="113">
        <f>IF(AND(ABS(Aug!F16)&gt;קריטריונים!$B$1,Aug!B16&gt;קריטריונים!$B$3),Aug!F16,"")</f>
        <v>0.85676392572944304</v>
      </c>
      <c r="T15" s="113">
        <f>IF(AND(ABS(Aug!E16)&gt;קריטריונים!$B$1,Aug!B16&gt;קריטריונים!$B$3),Aug!E16,"")</f>
        <v>0.51079136690647498</v>
      </c>
      <c r="U15" s="113">
        <f>IF(AND(ABS(Jul!K16)&gt;קריטריונים!$B$2,Jul!B16&gt;קריטריונים!$B$3),Jul!K16,"")</f>
        <v>0.5046513079852657</v>
      </c>
      <c r="V15" s="113">
        <f>IF(AND(ABS(Jul!J16)&gt;קריטריונים!$B$2,Jul!B16&gt;קריטריונים!$B$3),Jul!J16,"")</f>
        <v>0.31106517245131093</v>
      </c>
      <c r="W15" s="113">
        <f>IF(AND(ABS(Jul!F16)&gt;קריטריונים!$B$1,Jul!B16&gt;קריטריונים!$B$3),Jul!F16,"")</f>
        <v>0.42959256611865615</v>
      </c>
      <c r="X15" s="113">
        <f>IF(AND(ABS(Jul!E16)&gt;קריטריונים!$B$1,Jul!B16&gt;קריטריונים!$B$3),Jul!E16,"")</f>
        <v>2.197240674501777E-2</v>
      </c>
      <c r="Y15" s="113">
        <f>IF(AND(ABS(Jun!K16)&gt;קריטריונים!$B$2,Jun!B16&gt;קריטריונים!$B$3),Jun!K16,"")</f>
        <v>0.61975960128994445</v>
      </c>
      <c r="Z15" s="113">
        <f>IF(AND(ABS(Jun!J16)&gt;קריטריונים!$B$2,Jun!B16&gt;קריטריונים!$B$3),Jun!J16,"")</f>
        <v>0.34550989345509886</v>
      </c>
      <c r="AA15" s="113">
        <f>IF(AND(ABS(Jun!F16)&gt;קריטריונים!$B$1,Jun!B16&gt;קריטריונים!$B$3),Jun!F16,"")</f>
        <v>0.72057811424638674</v>
      </c>
      <c r="AB15" s="113">
        <f>IF(AND(ABS(Jun!E16)&gt;קריטריונים!$B$1,Jun!B16&gt;קריטריונים!$B$3),Jun!E16,"")</f>
        <v>4.5150501672240884E-2</v>
      </c>
      <c r="AC15" s="113">
        <f>IF(AND(ABS(May!K16)&gt;קריטריונים!$B$2,May!B16&gt;קריטריונים!$B$3),May!K16,"")</f>
        <v>0.62871863054678423</v>
      </c>
      <c r="AD15" s="113">
        <f>IF(AND(ABS(May!J16)&gt;קריטריונים!$B$2,May!B16&gt;קריטריונים!$B$3),May!J16,"")</f>
        <v>0.39670776027934163</v>
      </c>
      <c r="AE15" s="113">
        <f>IF(AND(ABS(May!F16)&gt;קריטריונים!$B$1,May!B16&gt;קריטריונים!$B$3),May!F16,"")</f>
        <v>0.86023127199597793</v>
      </c>
      <c r="AF15" s="113">
        <f>IF(AND(ABS(May!E16)&gt;קריטריונים!$B$1,May!B16&gt;קריטריונים!$B$3),May!E16,"")</f>
        <v>0.71534538711172924</v>
      </c>
      <c r="AG15" s="113">
        <f>IF(AND(ABS(Apr!K16)&gt;קריטריונים!$B$2,Apr!B16&gt;קריטריונים!$B$3),Apr!K16,"")</f>
        <v>0.58287705326032846</v>
      </c>
      <c r="AH15" s="113">
        <f>IF(AND(ABS(Apr!J16)&gt;קריטריונים!$B$2,Apr!B16&gt;קריטריונים!$B$3),Apr!J16,"")</f>
        <v>0.33883462445267765</v>
      </c>
      <c r="AI15" s="113">
        <f>IF(AND(ABS(Apr!F16)&gt;קריטריונים!$B$1,Apr!B16&gt;קריטריונים!$B$3),Apr!F16,"")</f>
        <v>0.37767220902612819</v>
      </c>
      <c r="AJ15" s="113">
        <f>IF(AND(ABS(Apr!E16)&gt;קריטריונים!$B$1,Apr!B16&gt;קריטריונים!$B$3),Apr!E16,"")</f>
        <v>0.19292472233648694</v>
      </c>
      <c r="AK15" s="113">
        <f>IF(AND(ABS(Mar!K16)&gt;קריטריונים!$B$2,Mar!B16&gt;קריטריונים!$B$3),Mar!K16,"")</f>
        <v>0.63727959697733016</v>
      </c>
      <c r="AL15" s="113">
        <f>IF(AND(ABS(Mar!J16)&gt;קריטריונים!$B$2,Mar!B16&gt;קריטריונים!$B$3),Mar!J16,"")</f>
        <v>0.37638962413975641</v>
      </c>
      <c r="AM15" s="113">
        <f>IF(AND(ABS(Mar!F16)&gt;קריטריונים!$B$1,Mar!B16&gt;קריטריונים!$B$3),Mar!F16,"")</f>
        <v>0.82956186807896004</v>
      </c>
      <c r="AN15" s="113">
        <f>IF(AND(ABS(Mar!E16)&gt;קריטריונים!$B$1,Mar!B16&gt;קריטריונים!$B$3),Mar!E16,"")</f>
        <v>0.88492063492063489</v>
      </c>
      <c r="AO15" s="113">
        <f>IF(AND(ABS(Feb!K16)&gt;קריטריונים!$B$2,Feb!B16&gt;קריטריונים!$B$3),Feb!K16,"")</f>
        <v>0.56916254477230077</v>
      </c>
      <c r="AP15" s="113">
        <f>IF(AND(ABS(Feb!J16)&gt;קריטריונים!$B$2,Feb!B16&gt;קריטריונים!$B$3),Feb!J16,"")</f>
        <v>0.23839009287925705</v>
      </c>
      <c r="AQ15" s="113">
        <f>IF(AND(ABS(Feb!F16)&gt;קריטריונים!$B$1,Feb!B16&gt;קריטריונים!$B$3),Feb!F16,"")</f>
        <v>1.0241339042428961</v>
      </c>
      <c r="AR15" s="113">
        <f>IF(AND(ABS(Feb!E16)&gt;קריטריונים!$B$1,Feb!B16&gt;קריטריונים!$B$3),Feb!E16,"")</f>
        <v>0.2569494802997343</v>
      </c>
      <c r="AS15" s="113">
        <f>IF(AND(ABS(Jan!F16)&gt;קריטריונים!$B$1,Jan!B16&gt;קריטריונים!$B$3),Jan!F16,"")</f>
        <v>0.21432908318154209</v>
      </c>
      <c r="AT15" s="103">
        <f>IF(AND(ABS(Jan!E16)&gt;קריטריונים!$B$1,Jan!B16&gt;קריטריונים!$B$3),Jan!E16,"")</f>
        <v>0.21506682867557725</v>
      </c>
      <c r="AU15" s="118" t="s">
        <v>11</v>
      </c>
      <c r="AV15" s="4"/>
      <c r="AW15" s="106"/>
    </row>
    <row r="16" spans="1:49">
      <c r="A16" s="112" t="str">
        <f>IF(AND(ABS(Dec!K17)&gt;קריטריונים!$B$2,Dec!B17&gt;קריטריונים!$B$3),Dec!K17,"")</f>
        <v/>
      </c>
      <c r="B16" s="113" t="str">
        <f>IF(AND(ABS(Dec!J17)&gt;קריטריונים!$B$2,Dec!B17&gt;קריטריונים!$B$3),Dec!J17,"")</f>
        <v/>
      </c>
      <c r="C16" s="113" t="str">
        <f>IF(AND(ABS(Dec!F17)&gt;קריטריונים!$B$1,Dec!B17&gt;קריטריונים!$B$3),Dec!F17,"")</f>
        <v/>
      </c>
      <c r="D16" s="113" t="str">
        <f>IF(AND(ABS(Dec!E17)&gt;קריטריונים!$B$1,Dec!B17&gt;קריטריונים!$B$3),Dec!E17,"")</f>
        <v/>
      </c>
      <c r="E16" s="113">
        <f>IF(AND(ABS(Nov!K17)&gt;קריטריונים!$B$2,Nov!B17&gt;קריטריונים!$B$3),Nov!K17,"")</f>
        <v>0.31416837782340834</v>
      </c>
      <c r="F16" s="113">
        <f>IF(AND(ABS(Nov!J17)&gt;קריטריונים!$B$2,Nov!B17&gt;קריטריונים!$B$3),Nov!J17,"")</f>
        <v>0.15984052192823461</v>
      </c>
      <c r="G16" s="113">
        <f>IF(AND(ABS(Nov!F17)&gt;קריטריונים!$B$1,Nov!B17&gt;קריטריונים!$B$3),Nov!F17,"")</f>
        <v>0.69491525423728806</v>
      </c>
      <c r="H16" s="113">
        <f>IF(AND(ABS(Nov!E17)&gt;קריטריונים!$B$1,Nov!B17&gt;קריטריונים!$B$3),Nov!E17,"")</f>
        <v>0.22732123799359649</v>
      </c>
      <c r="I16" s="113" t="str">
        <f>IF(AND(ABS(Oct!K17)&gt;קריטריונים!$B$2,Oct!B17&gt;קריטריונים!$B$3),Oct!K17,"")</f>
        <v/>
      </c>
      <c r="J16" s="113" t="str">
        <f>IF(AND(ABS(Oct!J17)&gt;קריטריונים!$B$2,Oct!B17&gt;קריטריונים!$B$3),Oct!J17,"")</f>
        <v/>
      </c>
      <c r="K16" s="113" t="str">
        <f>IF(AND(ABS(Oct!F17)&gt;קריטריונים!$B$1,Oct!B17&gt;קריטריונים!$B$3),Oct!F17,"")</f>
        <v/>
      </c>
      <c r="L16" s="113" t="str">
        <f>IF(AND(ABS(Oct!E17)&gt;קריטריונים!$B$1,Oct!B17&gt;קריטריונים!$B$3),Oct!E17,"")</f>
        <v/>
      </c>
      <c r="M16" s="113" t="str">
        <f>IF(AND(ABS(Sep!K17)&gt;קריטריונים!$B$2,Sep!B17&gt;קריטריונים!$B$3),Sep!K17,"")</f>
        <v/>
      </c>
      <c r="N16" s="113" t="str">
        <f>IF(AND(ABS(Sep!J17)&gt;קריטריונים!$B$2,Sep!B17&gt;קריטריונים!$B$3),Sep!J17,"")</f>
        <v/>
      </c>
      <c r="O16" s="113" t="str">
        <f>IF(AND(ABS(Sep!F17)&gt;קריטריונים!$B$1,Sep!B17&gt;קריטריונים!$B$3),Sep!F17,"")</f>
        <v/>
      </c>
      <c r="P16" s="113" t="str">
        <f>IF(AND(ABS(Sep!E17)&gt;קריטריונים!$B$1,Sep!B17&gt;קריטריונים!$B$3),Sep!E17,"")</f>
        <v/>
      </c>
      <c r="Q16" s="113" t="str">
        <f>IF(AND(ABS(Aug!K17)&gt;קריטריונים!$B$2,Aug!B17&gt;קריטריונים!$B$3),Aug!K17,"")</f>
        <v/>
      </c>
      <c r="R16" s="113" t="str">
        <f>IF(AND(ABS(Aug!J17)&gt;קריטריונים!$B$2,Aug!B17&gt;קריטריונים!$B$3),Aug!J17,"")</f>
        <v/>
      </c>
      <c r="S16" s="113" t="str">
        <f>IF(AND(ABS(Aug!F17)&gt;קריטריונים!$B$1,Aug!B17&gt;קריטריונים!$B$3),Aug!F17,"")</f>
        <v/>
      </c>
      <c r="T16" s="113" t="str">
        <f>IF(AND(ABS(Aug!E17)&gt;קריטריונים!$B$1,Aug!B17&gt;קריטריונים!$B$3),Aug!E17,"")</f>
        <v/>
      </c>
      <c r="U16" s="113" t="str">
        <f>IF(AND(ABS(Jul!K17)&gt;קריטריונים!$B$2,Jul!B17&gt;קריטריונים!$B$3),Jul!K17,"")</f>
        <v/>
      </c>
      <c r="V16" s="113" t="str">
        <f>IF(AND(ABS(Jul!J17)&gt;קריטריונים!$B$2,Jul!B17&gt;קריטריונים!$B$3),Jul!J17,"")</f>
        <v/>
      </c>
      <c r="W16" s="113" t="str">
        <f>IF(AND(ABS(Jul!F17)&gt;קריטריונים!$B$1,Jul!B17&gt;קריטריונים!$B$3),Jul!F17,"")</f>
        <v/>
      </c>
      <c r="X16" s="113" t="str">
        <f>IF(AND(ABS(Jul!E17)&gt;קריטריונים!$B$1,Jul!B17&gt;קריטריונים!$B$3),Jul!E17,"")</f>
        <v/>
      </c>
      <c r="Y16" s="113" t="str">
        <f>IF(AND(ABS(Jun!K17)&gt;קריטריונים!$B$2,Jun!B17&gt;קריטריונים!$B$3),Jun!K17,"")</f>
        <v/>
      </c>
      <c r="Z16" s="113" t="str">
        <f>IF(AND(ABS(Jun!J17)&gt;קריטריונים!$B$2,Jun!B17&gt;קריטריונים!$B$3),Jun!J17,"")</f>
        <v/>
      </c>
      <c r="AA16" s="113" t="str">
        <f>IF(AND(ABS(Jun!F17)&gt;קריטריונים!$B$1,Jun!B17&gt;קריטריונים!$B$3),Jun!F17,"")</f>
        <v/>
      </c>
      <c r="AB16" s="113" t="str">
        <f>IF(AND(ABS(Jun!E17)&gt;קריטריונים!$B$1,Jun!B17&gt;קריטריונים!$B$3),Jun!E17,"")</f>
        <v/>
      </c>
      <c r="AC16" s="113" t="str">
        <f>IF(AND(ABS(May!K17)&gt;קריטריונים!$B$2,May!B17&gt;קריטריונים!$B$3),May!K17,"")</f>
        <v/>
      </c>
      <c r="AD16" s="113" t="str">
        <f>IF(AND(ABS(May!J17)&gt;קריטריונים!$B$2,May!B17&gt;קריטריונים!$B$3),May!J17,"")</f>
        <v/>
      </c>
      <c r="AE16" s="113" t="str">
        <f>IF(AND(ABS(May!F17)&gt;קריטריונים!$B$1,May!B17&gt;קריטריונים!$B$3),May!F17,"")</f>
        <v/>
      </c>
      <c r="AF16" s="113" t="str">
        <f>IF(AND(ABS(May!E17)&gt;קריטריונים!$B$1,May!B17&gt;קריטריונים!$B$3),May!E17,"")</f>
        <v/>
      </c>
      <c r="AG16" s="113" t="str">
        <f>IF(AND(ABS(Apr!K17)&gt;קריטריונים!$B$2,Apr!B17&gt;קריטריונים!$B$3),Apr!K17,"")</f>
        <v/>
      </c>
      <c r="AH16" s="113" t="str">
        <f>IF(AND(ABS(Apr!J17)&gt;קריטריונים!$B$2,Apr!B17&gt;קריטריונים!$B$3),Apr!J17,"")</f>
        <v/>
      </c>
      <c r="AI16" s="113" t="str">
        <f>IF(AND(ABS(Apr!F17)&gt;קריטריונים!$B$1,Apr!B17&gt;קריטריונים!$B$3),Apr!F17,"")</f>
        <v/>
      </c>
      <c r="AJ16" s="113" t="str">
        <f>IF(AND(ABS(Apr!E17)&gt;קריטריונים!$B$1,Apr!B17&gt;קריטריונים!$B$3),Apr!E17,"")</f>
        <v/>
      </c>
      <c r="AK16" s="113" t="str">
        <f>IF(AND(ABS(Mar!K17)&gt;קריטריונים!$B$2,Mar!B17&gt;קריטריונים!$B$3),Mar!K17,"")</f>
        <v/>
      </c>
      <c r="AL16" s="113" t="str">
        <f>IF(AND(ABS(Mar!J17)&gt;קריטריונים!$B$2,Mar!B17&gt;קריטריונים!$B$3),Mar!J17,"")</f>
        <v/>
      </c>
      <c r="AM16" s="113" t="str">
        <f>IF(AND(ABS(Mar!F17)&gt;קריטריונים!$B$1,Mar!B17&gt;קריטריונים!$B$3),Mar!F17,"")</f>
        <v/>
      </c>
      <c r="AN16" s="113" t="str">
        <f>IF(AND(ABS(Mar!E17)&gt;קריטריונים!$B$1,Mar!B17&gt;קריטריונים!$B$3),Mar!E17,"")</f>
        <v/>
      </c>
      <c r="AO16" s="113" t="str">
        <f>IF(AND(ABS(Feb!K17)&gt;קריטריונים!$B$2,Feb!B17&gt;קריטריונים!$B$3),Feb!K17,"")</f>
        <v/>
      </c>
      <c r="AP16" s="113" t="str">
        <f>IF(AND(ABS(Feb!J17)&gt;קריטריונים!$B$2,Feb!B17&gt;קריטריונים!$B$3),Feb!J17,"")</f>
        <v/>
      </c>
      <c r="AQ16" s="113" t="str">
        <f>IF(AND(ABS(Feb!F17)&gt;קריטריונים!$B$1,Feb!B17&gt;קריטריונים!$B$3),Feb!F17,"")</f>
        <v/>
      </c>
      <c r="AR16" s="113" t="str">
        <f>IF(AND(ABS(Feb!E17)&gt;קריטריונים!$B$1,Feb!B17&gt;קריטריונים!$B$3),Feb!E17,"")</f>
        <v/>
      </c>
      <c r="AS16" s="113" t="str">
        <f>IF(AND(ABS(Jan!F17)&gt;קריטריונים!$B$1,Jan!B17&gt;קריטריונים!$B$3),Jan!F17,"")</f>
        <v/>
      </c>
      <c r="AT16" s="103" t="str">
        <f>IF(AND(ABS(Jan!E17)&gt;קריטריונים!$B$1,Jan!B17&gt;קריטריונים!$B$3),Jan!E17,"")</f>
        <v/>
      </c>
      <c r="AU16" s="118" t="s">
        <v>12</v>
      </c>
      <c r="AV16" s="4"/>
    </row>
    <row r="17" spans="1:48">
      <c r="A17" s="112" t="str">
        <f>IF(AND(ABS(Dec!K18)&gt;קריטריונים!$B$2,Dec!B18&gt;קריטריונים!$B$3),Dec!K18,"")</f>
        <v/>
      </c>
      <c r="B17" s="113" t="str">
        <f>IF(AND(ABS(Dec!J18)&gt;קריטריונים!$B$2,Dec!B18&gt;קריטריונים!$B$3),Dec!J18,"")</f>
        <v/>
      </c>
      <c r="C17" s="113" t="str">
        <f>IF(AND(ABS(Dec!F18)&gt;קריטריונים!$B$1,Dec!B18&gt;קריטריונים!$B$3),Dec!F18,"")</f>
        <v/>
      </c>
      <c r="D17" s="113" t="str">
        <f>IF(AND(ABS(Dec!E18)&gt;קריטריונים!$B$1,Dec!B18&gt;קריטריונים!$B$3),Dec!E18,"")</f>
        <v/>
      </c>
      <c r="E17" s="113" t="str">
        <f>IF(AND(ABS(Nov!K18)&gt;קריטריונים!$B$2,Nov!B18&gt;קריטריונים!$B$3),Nov!K18,"")</f>
        <v/>
      </c>
      <c r="F17" s="113" t="str">
        <f>IF(AND(ABS(Nov!J18)&gt;קריטריונים!$B$2,Nov!B18&gt;קריטריונים!$B$3),Nov!J18,"")</f>
        <v/>
      </c>
      <c r="G17" s="113" t="str">
        <f>IF(AND(ABS(Nov!F18)&gt;קריטריונים!$B$1,Nov!B18&gt;קריטריונים!$B$3),Nov!F18,"")</f>
        <v/>
      </c>
      <c r="H17" s="113" t="str">
        <f>IF(AND(ABS(Nov!E18)&gt;קריטריונים!$B$1,Nov!B18&gt;קריטריונים!$B$3),Nov!E18,"")</f>
        <v/>
      </c>
      <c r="I17" s="113" t="str">
        <f>IF(AND(ABS(Oct!K18)&gt;קריטריונים!$B$2,Oct!B18&gt;קריטריונים!$B$3),Oct!K18,"")</f>
        <v/>
      </c>
      <c r="J17" s="113" t="str">
        <f>IF(AND(ABS(Oct!J18)&gt;קריטריונים!$B$2,Oct!B18&gt;קריטריונים!$B$3),Oct!J18,"")</f>
        <v/>
      </c>
      <c r="K17" s="113" t="str">
        <f>IF(AND(ABS(Oct!F18)&gt;קריטריונים!$B$1,Oct!B18&gt;קריטריונים!$B$3),Oct!F18,"")</f>
        <v/>
      </c>
      <c r="L17" s="113" t="str">
        <f>IF(AND(ABS(Oct!E18)&gt;קריטריונים!$B$1,Oct!B18&gt;קריטריונים!$B$3),Oct!E18,"")</f>
        <v/>
      </c>
      <c r="M17" s="113" t="str">
        <f>IF(AND(ABS(Sep!K18)&gt;קריטריונים!$B$2,Sep!B18&gt;קריטריונים!$B$3),Sep!K18,"")</f>
        <v/>
      </c>
      <c r="N17" s="113" t="str">
        <f>IF(AND(ABS(Sep!J18)&gt;קריטריונים!$B$2,Sep!B18&gt;קריטריונים!$B$3),Sep!J18,"")</f>
        <v/>
      </c>
      <c r="O17" s="113" t="str">
        <f>IF(AND(ABS(Sep!F18)&gt;קריטריונים!$B$1,Sep!B18&gt;קריטריונים!$B$3),Sep!F18,"")</f>
        <v/>
      </c>
      <c r="P17" s="113" t="str">
        <f>IF(AND(ABS(Sep!E18)&gt;קריטריונים!$B$1,Sep!B18&gt;קריטריונים!$B$3),Sep!E18,"")</f>
        <v/>
      </c>
      <c r="Q17" s="113" t="str">
        <f>IF(AND(ABS(Aug!K18)&gt;קריטריונים!$B$2,Aug!B18&gt;קריטריונים!$B$3),Aug!K18,"")</f>
        <v/>
      </c>
      <c r="R17" s="113" t="str">
        <f>IF(AND(ABS(Aug!J18)&gt;קריטריונים!$B$2,Aug!B18&gt;קריטריונים!$B$3),Aug!J18,"")</f>
        <v/>
      </c>
      <c r="S17" s="113" t="str">
        <f>IF(AND(ABS(Aug!F18)&gt;קריטריונים!$B$1,Aug!B18&gt;קריטריונים!$B$3),Aug!F18,"")</f>
        <v/>
      </c>
      <c r="T17" s="113" t="str">
        <f>IF(AND(ABS(Aug!E18)&gt;קריטריונים!$B$1,Aug!B18&gt;קריטריונים!$B$3),Aug!E18,"")</f>
        <v/>
      </c>
      <c r="U17" s="113" t="str">
        <f>IF(AND(ABS(Jul!K18)&gt;קריטריונים!$B$2,Jul!B18&gt;קריטריונים!$B$3),Jul!K18,"")</f>
        <v/>
      </c>
      <c r="V17" s="113" t="str">
        <f>IF(AND(ABS(Jul!J18)&gt;קריטריונים!$B$2,Jul!B18&gt;קריטריונים!$B$3),Jul!J18,"")</f>
        <v/>
      </c>
      <c r="W17" s="113" t="str">
        <f>IF(AND(ABS(Jul!F18)&gt;קריטריונים!$B$1,Jul!B18&gt;קריטריונים!$B$3),Jul!F18,"")</f>
        <v/>
      </c>
      <c r="X17" s="113" t="str">
        <f>IF(AND(ABS(Jul!E18)&gt;קריטריונים!$B$1,Jul!B18&gt;קריטריונים!$B$3),Jul!E18,"")</f>
        <v/>
      </c>
      <c r="Y17" s="113" t="str">
        <f>IF(AND(ABS(Jun!K18)&gt;קריטריונים!$B$2,Jun!B18&gt;קריטריונים!$B$3),Jun!K18,"")</f>
        <v/>
      </c>
      <c r="Z17" s="113" t="str">
        <f>IF(AND(ABS(Jun!J18)&gt;קריטריונים!$B$2,Jun!B18&gt;קריטריונים!$B$3),Jun!J18,"")</f>
        <v/>
      </c>
      <c r="AA17" s="113" t="str">
        <f>IF(AND(ABS(Jun!F18)&gt;קריטריונים!$B$1,Jun!B18&gt;קריטריונים!$B$3),Jun!F18,"")</f>
        <v/>
      </c>
      <c r="AB17" s="113" t="str">
        <f>IF(AND(ABS(Jun!E18)&gt;קריטריונים!$B$1,Jun!B18&gt;קריטריונים!$B$3),Jun!E18,"")</f>
        <v/>
      </c>
      <c r="AC17" s="113" t="str">
        <f>IF(AND(ABS(May!K18)&gt;קריטריונים!$B$2,May!B18&gt;קריטריונים!$B$3),May!K18,"")</f>
        <v/>
      </c>
      <c r="AD17" s="113" t="str">
        <f>IF(AND(ABS(May!J18)&gt;קריטריונים!$B$2,May!B18&gt;קריטריונים!$B$3),May!J18,"")</f>
        <v/>
      </c>
      <c r="AE17" s="113" t="str">
        <f>IF(AND(ABS(May!F18)&gt;קריטריונים!$B$1,May!B18&gt;קריטריונים!$B$3),May!F18,"")</f>
        <v/>
      </c>
      <c r="AF17" s="113" t="str">
        <f>IF(AND(ABS(May!E18)&gt;קריטריונים!$B$1,May!B18&gt;קריטריונים!$B$3),May!E18,"")</f>
        <v/>
      </c>
      <c r="AG17" s="113" t="str">
        <f>IF(AND(ABS(Apr!K18)&gt;קריטריונים!$B$2,Apr!B18&gt;קריטריונים!$B$3),Apr!K18,"")</f>
        <v/>
      </c>
      <c r="AH17" s="113" t="str">
        <f>IF(AND(ABS(Apr!J18)&gt;קריטריונים!$B$2,Apr!B18&gt;קריטריונים!$B$3),Apr!J18,"")</f>
        <v/>
      </c>
      <c r="AI17" s="113" t="str">
        <f>IF(AND(ABS(Apr!F18)&gt;קריטריונים!$B$1,Apr!B18&gt;קריטריונים!$B$3),Apr!F18,"")</f>
        <v/>
      </c>
      <c r="AJ17" s="113" t="str">
        <f>IF(AND(ABS(Apr!E18)&gt;קריטריונים!$B$1,Apr!B18&gt;קריטריונים!$B$3),Apr!E18,"")</f>
        <v/>
      </c>
      <c r="AK17" s="113" t="str">
        <f>IF(AND(ABS(Mar!K18)&gt;קריטריונים!$B$2,Mar!B18&gt;קריטריונים!$B$3),Mar!K18,"")</f>
        <v/>
      </c>
      <c r="AL17" s="113" t="str">
        <f>IF(AND(ABS(Mar!J18)&gt;קריטריונים!$B$2,Mar!B18&gt;קריטריונים!$B$3),Mar!J18,"")</f>
        <v/>
      </c>
      <c r="AM17" s="113" t="str">
        <f>IF(AND(ABS(Mar!F18)&gt;קריטריונים!$B$1,Mar!B18&gt;קריטריונים!$B$3),Mar!F18,"")</f>
        <v/>
      </c>
      <c r="AN17" s="113" t="str">
        <f>IF(AND(ABS(Mar!E18)&gt;קריטריונים!$B$1,Mar!B18&gt;קריטריונים!$B$3),Mar!E18,"")</f>
        <v/>
      </c>
      <c r="AO17" s="113" t="str">
        <f>IF(AND(ABS(Feb!K18)&gt;קריטריונים!$B$2,Feb!B18&gt;קריטריונים!$B$3),Feb!K18,"")</f>
        <v/>
      </c>
      <c r="AP17" s="113" t="str">
        <f>IF(AND(ABS(Feb!J18)&gt;קריטריונים!$B$2,Feb!B18&gt;קריטריונים!$B$3),Feb!J18,"")</f>
        <v/>
      </c>
      <c r="AQ17" s="113" t="str">
        <f>IF(AND(ABS(Feb!F18)&gt;קריטריונים!$B$1,Feb!B18&gt;קריטריונים!$B$3),Feb!F18,"")</f>
        <v/>
      </c>
      <c r="AR17" s="113" t="str">
        <f>IF(AND(ABS(Feb!E18)&gt;קריטריונים!$B$1,Feb!B18&gt;קריטריונים!$B$3),Feb!E18,"")</f>
        <v/>
      </c>
      <c r="AS17" s="113" t="str">
        <f>IF(AND(ABS(Jan!F18)&gt;קריטריונים!$B$1,Jan!B18&gt;קריטריונים!$B$3),Jan!F18,"")</f>
        <v/>
      </c>
      <c r="AT17" s="103" t="str">
        <f>IF(AND(ABS(Jan!E18)&gt;קריטריונים!$B$1,Jan!B18&gt;קריטריונים!$B$3),Jan!E18,"")</f>
        <v/>
      </c>
      <c r="AU17" s="118" t="s">
        <v>13</v>
      </c>
      <c r="AV17" s="4"/>
    </row>
    <row r="18" spans="1:48">
      <c r="A18" s="112" t="str">
        <f>IF(AND(ABS(Dec!K19)&gt;קריטריונים!$B$2,Dec!B19&gt;קריטריונים!$B$3),Dec!K19,"")</f>
        <v/>
      </c>
      <c r="B18" s="113" t="str">
        <f>IF(AND(ABS(Dec!J19)&gt;קריטריונים!$B$2,Dec!B19&gt;קריטריונים!$B$3),Dec!J19,"")</f>
        <v/>
      </c>
      <c r="C18" s="113" t="str">
        <f>IF(AND(ABS(Dec!F19)&gt;קריטריונים!$B$1,Dec!B19&gt;קריטריונים!$B$3),Dec!F19,"")</f>
        <v/>
      </c>
      <c r="D18" s="113" t="str">
        <f>IF(AND(ABS(Dec!E19)&gt;קריטריונים!$B$1,Dec!B19&gt;קריטריונים!$B$3),Dec!E19,"")</f>
        <v/>
      </c>
      <c r="E18" s="113">
        <f>IF(AND(ABS(Nov!K19)&gt;קריטריונים!$B$2,Nov!B19&gt;קריטריונים!$B$3),Nov!K19,"")</f>
        <v>0.94072657743785837</v>
      </c>
      <c r="F18" s="113">
        <f>IF(AND(ABS(Nov!J19)&gt;קריטריונים!$B$2,Nov!B19&gt;קריטריונים!$B$3),Nov!J19,"")</f>
        <v>0.55317521040550899</v>
      </c>
      <c r="G18" s="113">
        <f>IF(AND(ABS(Nov!F19)&gt;קריטריונים!$B$1,Nov!B19&gt;קריטריונים!$B$3),Nov!F19,"")</f>
        <v>2.1159420289855073</v>
      </c>
      <c r="H18" s="113">
        <f>IF(AND(ABS(Nov!E19)&gt;קריטריונים!$B$1,Nov!B19&gt;קריטריונים!$B$3),Nov!E19,"")</f>
        <v>0.77173465183353929</v>
      </c>
      <c r="I18" s="113">
        <f>IF(AND(ABS(Oct!K19)&gt;קריטריונים!$B$2,Oct!B19&gt;קריטריונים!$B$3),Oct!K19,"")</f>
        <v>0.76211453744493385</v>
      </c>
      <c r="J18" s="113">
        <f>IF(AND(ABS(Oct!J19)&gt;קריטריונים!$B$2,Oct!B19&gt;קריטריונים!$B$3),Oct!J19,"")</f>
        <v>0.50333552569764173</v>
      </c>
      <c r="K18" s="113">
        <f>IF(AND(ABS(Oct!F19)&gt;קריטריונים!$B$1,Oct!B19&gt;קריטריונים!$B$3),Oct!F19,"")</f>
        <v>1.1868787276341948</v>
      </c>
      <c r="L18" s="113">
        <f>IF(AND(ABS(Oct!E19)&gt;קריטריונים!$B$1,Oct!B19&gt;קריטריונים!$B$3),Oct!E19,"")</f>
        <v>0.50068212824010927</v>
      </c>
      <c r="M18" s="113">
        <f>IF(AND(ABS(Sep!K19)&gt;קריטריונים!$B$2,Sep!B19&gt;קריטריונים!$B$3),Sep!K19,"")</f>
        <v>0.67745344076079772</v>
      </c>
      <c r="N18" s="113">
        <f>IF(AND(ABS(Sep!J19)&gt;קריטריונים!$B$2,Sep!B19&gt;קריטריונים!$B$3),Sep!J19,"")</f>
        <v>0.50402652771198486</v>
      </c>
      <c r="O18" s="113">
        <f>IF(AND(ABS(Sep!F19)&gt;קריטריונים!$B$1,Sep!B19&gt;קריטריונים!$B$3),Sep!F19,"")</f>
        <v>0.4285714285714286</v>
      </c>
      <c r="P18" s="113">
        <f>IF(AND(ABS(Sep!E19)&gt;קריטריונים!$B$1,Sep!B19&gt;קריטריונים!$B$3),Sep!E19,"")</f>
        <v>0.33333333333333348</v>
      </c>
      <c r="Q18" s="113" t="str">
        <f>IF(AND(ABS(Aug!K19)&gt;קריטריונים!$B$2,Aug!B19&gt;קריטריונים!$B$3),Aug!K19,"")</f>
        <v/>
      </c>
      <c r="R18" s="113" t="str">
        <f>IF(AND(ABS(Aug!J19)&gt;קריטריונים!$B$2,Aug!B19&gt;קריטריונים!$B$3),Aug!J19,"")</f>
        <v/>
      </c>
      <c r="S18" s="113" t="str">
        <f>IF(AND(ABS(Aug!F19)&gt;קריטריונים!$B$1,Aug!B19&gt;קריטריונים!$B$3),Aug!F19,"")</f>
        <v/>
      </c>
      <c r="T18" s="113" t="str">
        <f>IF(AND(ABS(Aug!E19)&gt;קריטריונים!$B$1,Aug!B19&gt;קריטריונים!$B$3),Aug!E19,"")</f>
        <v/>
      </c>
      <c r="U18" s="113" t="str">
        <f>IF(AND(ABS(Jul!K19)&gt;קריטריונים!$B$2,Jul!B19&gt;קריטריונים!$B$3),Jul!K19,"")</f>
        <v/>
      </c>
      <c r="V18" s="113" t="str">
        <f>IF(AND(ABS(Jul!J19)&gt;קריטריונים!$B$2,Jul!B19&gt;קריטריונים!$B$3),Jul!J19,"")</f>
        <v/>
      </c>
      <c r="W18" s="113" t="str">
        <f>IF(AND(ABS(Jul!F19)&gt;קריטריונים!$B$1,Jul!B19&gt;קריטריונים!$B$3),Jul!F19,"")</f>
        <v/>
      </c>
      <c r="X18" s="113" t="str">
        <f>IF(AND(ABS(Jul!E19)&gt;קריטריונים!$B$1,Jul!B19&gt;קריטריונים!$B$3),Jul!E19,"")</f>
        <v/>
      </c>
      <c r="Y18" s="113" t="str">
        <f>IF(AND(ABS(Jun!K19)&gt;קריטריונים!$B$2,Jun!B19&gt;קריטריונים!$B$3),Jun!K19,"")</f>
        <v/>
      </c>
      <c r="Z18" s="113" t="str">
        <f>IF(AND(ABS(Jun!J19)&gt;קריטריונים!$B$2,Jun!B19&gt;קריטריונים!$B$3),Jun!J19,"")</f>
        <v/>
      </c>
      <c r="AA18" s="113" t="str">
        <f>IF(AND(ABS(Jun!F19)&gt;קריטריונים!$B$1,Jun!B19&gt;קריטריונים!$B$3),Jun!F19,"")</f>
        <v/>
      </c>
      <c r="AB18" s="113" t="str">
        <f>IF(AND(ABS(Jun!E19)&gt;קריטריונים!$B$1,Jun!B19&gt;קריטריונים!$B$3),Jun!E19,"")</f>
        <v/>
      </c>
      <c r="AC18" s="113">
        <f>IF(AND(ABS(May!K19)&gt;קריטריונים!$B$2,May!B19&gt;קריטריונים!$B$3),May!K19,"")</f>
        <v>0.68758113370835128</v>
      </c>
      <c r="AD18" s="113">
        <f>IF(AND(ABS(May!J19)&gt;קריטריונים!$B$2,May!B19&gt;קריטריונים!$B$3),May!J19,"")</f>
        <v>0.57289776164549289</v>
      </c>
      <c r="AE18" s="113">
        <f>IF(AND(ABS(May!F19)&gt;קריטריונים!$B$1,May!B19&gt;קריטריונים!$B$3),May!F19,"")</f>
        <v>0.65631469979296075</v>
      </c>
      <c r="AF18" s="113">
        <f>IF(AND(ABS(May!E19)&gt;קריטריונים!$B$1,May!B19&gt;קריטריונים!$B$3),May!E19,"")</f>
        <v>0.23076923076923084</v>
      </c>
      <c r="AG18" s="113">
        <f>IF(AND(ABS(Apr!K19)&gt;קריטריונים!$B$2,Apr!B19&gt;קריטריונים!$B$3),Apr!K19,"")</f>
        <v>0.69584245076586426</v>
      </c>
      <c r="AH18" s="113">
        <f>IF(AND(ABS(Apr!J19)&gt;קריטריונים!$B$2,Apr!B19&gt;קריטריונים!$B$3),Apr!J19,"")</f>
        <v>0.69445203607543027</v>
      </c>
      <c r="AI18" s="113">
        <f>IF(AND(ABS(Apr!F19)&gt;קריטריונים!$B$1,Apr!B19&gt;קריטריונים!$B$3),Apr!F19,"")</f>
        <v>0.24703087885985764</v>
      </c>
      <c r="AJ18" s="113">
        <f>IF(AND(ABS(Apr!E19)&gt;קריטריונים!$B$1,Apr!B19&gt;קריטריונים!$B$3),Apr!E19,"")</f>
        <v>1.0487804878048781</v>
      </c>
      <c r="AK18" s="113">
        <f>IF(AND(ABS(Mar!K19)&gt;קריטריונים!$B$2,Mar!B19&gt;קריטריונים!$B$3),Mar!K19,"")</f>
        <v>1.079107505070994</v>
      </c>
      <c r="AL18" s="113">
        <f>IF(AND(ABS(Mar!J19)&gt;קריטריונים!$B$2,Mar!B19&gt;קריטריונים!$B$3),Mar!J19,"")</f>
        <v>0.55656795747911914</v>
      </c>
      <c r="AM18" s="113">
        <f>IF(AND(ABS(Mar!F19)&gt;קריטריונים!$B$1,Mar!B19&gt;קריטריונים!$B$3),Mar!F19,"")</f>
        <v>1.4890190336749631</v>
      </c>
      <c r="AN18" s="113">
        <f>IF(AND(ABS(Mar!E19)&gt;קריטריונים!$B$1,Mar!B19&gt;קריטריונים!$B$3),Mar!E19,"")</f>
        <v>0.52329749103942635</v>
      </c>
      <c r="AO18" s="113">
        <f>IF(AND(ABS(Feb!K19)&gt;קריטריונים!$B$2,Feb!B19&gt;קריטריונים!$B$3),Feb!K19,"")</f>
        <v>0.86190845616757183</v>
      </c>
      <c r="AP18" s="113">
        <f>IF(AND(ABS(Feb!J19)&gt;קריטריונים!$B$2,Feb!B19&gt;קריטריונים!$B$3),Feb!J19,"")</f>
        <v>0.58102766798418992</v>
      </c>
      <c r="AQ18" s="113">
        <f>IF(AND(ABS(Feb!F19)&gt;קריטריונים!$B$1,Feb!B19&gt;קריטריונים!$B$3),Feb!F19,"")</f>
        <v>1.2222222222222223</v>
      </c>
      <c r="AR18" s="113">
        <f>IF(AND(ABS(Feb!E19)&gt;קריטריונים!$B$1,Feb!B19&gt;קריטריונים!$B$3),Feb!E19,"")</f>
        <v>0.8867924528301887</v>
      </c>
      <c r="AS18" s="113" t="str">
        <f>IF(AND(ABS(Jan!F19)&gt;קריטריונים!$B$1,Jan!B19&gt;קריטריונים!$B$3),Jan!F19,"")</f>
        <v/>
      </c>
      <c r="AT18" s="103" t="str">
        <f>IF(AND(ABS(Jan!E19)&gt;קריטריונים!$B$1,Jan!B19&gt;קריטריונים!$B$3),Jan!E19,"")</f>
        <v/>
      </c>
      <c r="AU18" s="118" t="s">
        <v>14</v>
      </c>
      <c r="AV18" s="4"/>
    </row>
    <row r="19" spans="1:48">
      <c r="A19" s="112" t="str">
        <f>IF(AND(ABS(Dec!K20)&gt;קריטריונים!$B$2,Dec!B20&gt;קריטריונים!$B$3),Dec!K20,"")</f>
        <v/>
      </c>
      <c r="B19" s="113" t="str">
        <f>IF(AND(ABS(Dec!J20)&gt;קריטריונים!$B$2,Dec!B20&gt;קריטריונים!$B$3),Dec!J20,"")</f>
        <v/>
      </c>
      <c r="C19" s="113" t="str">
        <f>IF(AND(ABS(Dec!F20)&gt;קריטריונים!$B$1,Dec!B20&gt;קריטריונים!$B$3),Dec!F20,"")</f>
        <v/>
      </c>
      <c r="D19" s="113" t="str">
        <f>IF(AND(ABS(Dec!E20)&gt;קריטריונים!$B$1,Dec!B20&gt;קריטריונים!$B$3),Dec!E20,"")</f>
        <v/>
      </c>
      <c r="E19" s="113" t="str">
        <f>IF(AND(ABS(Nov!K20)&gt;קריטריונים!$B$2,Nov!B20&gt;קריטריונים!$B$3),Nov!K20,"")</f>
        <v/>
      </c>
      <c r="F19" s="113" t="str">
        <f>IF(AND(ABS(Nov!J20)&gt;קריטריונים!$B$2,Nov!B20&gt;קריטריונים!$B$3),Nov!J20,"")</f>
        <v/>
      </c>
      <c r="G19" s="113" t="str">
        <f>IF(AND(ABS(Nov!F20)&gt;קריטריונים!$B$1,Nov!B20&gt;קריטריונים!$B$3),Nov!F20,"")</f>
        <v/>
      </c>
      <c r="H19" s="113" t="str">
        <f>IF(AND(ABS(Nov!E20)&gt;קריטריונים!$B$1,Nov!B20&gt;קריטריונים!$B$3),Nov!E20,"")</f>
        <v/>
      </c>
      <c r="I19" s="113" t="str">
        <f>IF(AND(ABS(Oct!K20)&gt;קריטריונים!$B$2,Oct!B20&gt;קריטריונים!$B$3),Oct!K20,"")</f>
        <v/>
      </c>
      <c r="J19" s="113" t="str">
        <f>IF(AND(ABS(Oct!J20)&gt;קריטריונים!$B$2,Oct!B20&gt;קריטריונים!$B$3),Oct!J20,"")</f>
        <v/>
      </c>
      <c r="K19" s="113" t="str">
        <f>IF(AND(ABS(Oct!F20)&gt;קריטריונים!$B$1,Oct!B20&gt;קריטריונים!$B$3),Oct!F20,"")</f>
        <v/>
      </c>
      <c r="L19" s="113" t="str">
        <f>IF(AND(ABS(Oct!E20)&gt;קריטריונים!$B$1,Oct!B20&gt;קריטריונים!$B$3),Oct!E20,"")</f>
        <v/>
      </c>
      <c r="M19" s="113" t="str">
        <f>IF(AND(ABS(Sep!K20)&gt;קריטריונים!$B$2,Sep!B20&gt;קריטריונים!$B$3),Sep!K20,"")</f>
        <v/>
      </c>
      <c r="N19" s="113" t="str">
        <f>IF(AND(ABS(Sep!J20)&gt;קריטריונים!$B$2,Sep!B20&gt;קריטריונים!$B$3),Sep!J20,"")</f>
        <v/>
      </c>
      <c r="O19" s="113" t="str">
        <f>IF(AND(ABS(Sep!F20)&gt;קריטריונים!$B$1,Sep!B20&gt;קריטריונים!$B$3),Sep!F20,"")</f>
        <v/>
      </c>
      <c r="P19" s="113" t="str">
        <f>IF(AND(ABS(Sep!E20)&gt;קריטריונים!$B$1,Sep!B20&gt;קריטריונים!$B$3),Sep!E20,"")</f>
        <v/>
      </c>
      <c r="Q19" s="113" t="str">
        <f>IF(AND(ABS(Aug!K20)&gt;קריטריונים!$B$2,Aug!B20&gt;קריטריונים!$B$3),Aug!K20,"")</f>
        <v/>
      </c>
      <c r="R19" s="113" t="str">
        <f>IF(AND(ABS(Aug!J20)&gt;קריטריונים!$B$2,Aug!B20&gt;קריטריונים!$B$3),Aug!J20,"")</f>
        <v/>
      </c>
      <c r="S19" s="113" t="str">
        <f>IF(AND(ABS(Aug!F20)&gt;קריטריונים!$B$1,Aug!B20&gt;קריטריונים!$B$3),Aug!F20,"")</f>
        <v/>
      </c>
      <c r="T19" s="113" t="str">
        <f>IF(AND(ABS(Aug!E20)&gt;קריטריונים!$B$1,Aug!B20&gt;קריטריונים!$B$3),Aug!E20,"")</f>
        <v/>
      </c>
      <c r="U19" s="113" t="str">
        <f>IF(AND(ABS(Jul!K20)&gt;קריטריונים!$B$2,Jul!B20&gt;קריטריונים!$B$3),Jul!K20,"")</f>
        <v/>
      </c>
      <c r="V19" s="113" t="str">
        <f>IF(AND(ABS(Jul!J20)&gt;קריטריונים!$B$2,Jul!B20&gt;קריטריונים!$B$3),Jul!J20,"")</f>
        <v/>
      </c>
      <c r="W19" s="113" t="str">
        <f>IF(AND(ABS(Jul!F20)&gt;קריטריונים!$B$1,Jul!B20&gt;קריטריונים!$B$3),Jul!F20,"")</f>
        <v/>
      </c>
      <c r="X19" s="113" t="str">
        <f>IF(AND(ABS(Jul!E20)&gt;קריטריונים!$B$1,Jul!B20&gt;קריטריונים!$B$3),Jul!E20,"")</f>
        <v/>
      </c>
      <c r="Y19" s="113" t="str">
        <f>IF(AND(ABS(Jun!K20)&gt;קריטריונים!$B$2,Jun!B20&gt;קריטריונים!$B$3),Jun!K20,"")</f>
        <v/>
      </c>
      <c r="Z19" s="113" t="str">
        <f>IF(AND(ABS(Jun!J20)&gt;קריטריונים!$B$2,Jun!B20&gt;קריטריונים!$B$3),Jun!J20,"")</f>
        <v/>
      </c>
      <c r="AA19" s="113" t="str">
        <f>IF(AND(ABS(Jun!F20)&gt;קריטריונים!$B$1,Jun!B20&gt;קריטריונים!$B$3),Jun!F20,"")</f>
        <v/>
      </c>
      <c r="AB19" s="113" t="str">
        <f>IF(AND(ABS(Jun!E20)&gt;קריטריונים!$B$1,Jun!B20&gt;קריטריונים!$B$3),Jun!E20,"")</f>
        <v/>
      </c>
      <c r="AC19" s="113" t="str">
        <f>IF(AND(ABS(May!K20)&gt;קריטריונים!$B$2,May!B20&gt;קריטריונים!$B$3),May!K20,"")</f>
        <v/>
      </c>
      <c r="AD19" s="113" t="str">
        <f>IF(AND(ABS(May!J20)&gt;קריטריונים!$B$2,May!B20&gt;קריטריונים!$B$3),May!J20,"")</f>
        <v/>
      </c>
      <c r="AE19" s="113" t="str">
        <f>IF(AND(ABS(May!F20)&gt;קריטריונים!$B$1,May!B20&gt;קריטריונים!$B$3),May!F20,"")</f>
        <v/>
      </c>
      <c r="AF19" s="113" t="str">
        <f>IF(AND(ABS(May!E20)&gt;קריטריונים!$B$1,May!B20&gt;קריטריונים!$B$3),May!E20,"")</f>
        <v/>
      </c>
      <c r="AG19" s="113" t="str">
        <f>IF(AND(ABS(Apr!K20)&gt;קריטריונים!$B$2,Apr!B20&gt;קריטריונים!$B$3),Apr!K20,"")</f>
        <v/>
      </c>
      <c r="AH19" s="113" t="str">
        <f>IF(AND(ABS(Apr!J20)&gt;קריטריונים!$B$2,Apr!B20&gt;קריטריונים!$B$3),Apr!J20,"")</f>
        <v/>
      </c>
      <c r="AI19" s="113" t="str">
        <f>IF(AND(ABS(Apr!F20)&gt;קריטריונים!$B$1,Apr!B20&gt;קריטריונים!$B$3),Apr!F20,"")</f>
        <v/>
      </c>
      <c r="AJ19" s="113" t="str">
        <f>IF(AND(ABS(Apr!E20)&gt;קריטריונים!$B$1,Apr!B20&gt;קריטריונים!$B$3),Apr!E20,"")</f>
        <v/>
      </c>
      <c r="AK19" s="113" t="str">
        <f>IF(AND(ABS(Mar!K20)&gt;קריטריונים!$B$2,Mar!B20&gt;קריטריונים!$B$3),Mar!K20,"")</f>
        <v/>
      </c>
      <c r="AL19" s="113" t="str">
        <f>IF(AND(ABS(Mar!J20)&gt;קריטריונים!$B$2,Mar!B20&gt;קריטריונים!$B$3),Mar!J20,"")</f>
        <v/>
      </c>
      <c r="AM19" s="113" t="str">
        <f>IF(AND(ABS(Mar!F20)&gt;קריטריונים!$B$1,Mar!B20&gt;קריטריונים!$B$3),Mar!F20,"")</f>
        <v/>
      </c>
      <c r="AN19" s="113" t="str">
        <f>IF(AND(ABS(Mar!E20)&gt;קריטריונים!$B$1,Mar!B20&gt;קריטריונים!$B$3),Mar!E20,"")</f>
        <v/>
      </c>
      <c r="AO19" s="113" t="str">
        <f>IF(AND(ABS(Feb!K20)&gt;קריטריונים!$B$2,Feb!B20&gt;קריטריונים!$B$3),Feb!K20,"")</f>
        <v/>
      </c>
      <c r="AP19" s="113" t="str">
        <f>IF(AND(ABS(Feb!J20)&gt;קריטריונים!$B$2,Feb!B20&gt;קריטריונים!$B$3),Feb!J20,"")</f>
        <v/>
      </c>
      <c r="AQ19" s="113" t="str">
        <f>IF(AND(ABS(Feb!F20)&gt;קריטריונים!$B$1,Feb!B20&gt;קריטריונים!$B$3),Feb!F20,"")</f>
        <v/>
      </c>
      <c r="AR19" s="113" t="str">
        <f>IF(AND(ABS(Feb!E20)&gt;קריטריונים!$B$1,Feb!B20&gt;קריטריונים!$B$3),Feb!E20,"")</f>
        <v/>
      </c>
      <c r="AS19" s="113" t="str">
        <f>IF(AND(ABS(Jan!F20)&gt;קריטריונים!$B$1,Jan!B20&gt;קריטריונים!$B$3),Jan!F20,"")</f>
        <v/>
      </c>
      <c r="AT19" s="103" t="str">
        <f>IF(AND(ABS(Jan!E20)&gt;קריטריונים!$B$1,Jan!B20&gt;קריטריונים!$B$3),Jan!E20,"")</f>
        <v/>
      </c>
      <c r="AU19" s="118"/>
      <c r="AV19" s="4"/>
    </row>
    <row r="20" spans="1:48">
      <c r="A20" s="112" t="str">
        <f>IF(AND(ABS(Dec!K21)&gt;קריטריונים!$B$2,Dec!B21&gt;קריטריונים!$B$3),Dec!K21,"")</f>
        <v/>
      </c>
      <c r="B20" s="113" t="str">
        <f>IF(AND(ABS(Dec!J21)&gt;קריטריונים!$B$2,Dec!B21&gt;קריטריונים!$B$3),Dec!J21,"")</f>
        <v/>
      </c>
      <c r="C20" s="113" t="str">
        <f>IF(AND(ABS(Dec!F21)&gt;קריטריונים!$B$1,Dec!B21&gt;קריטריונים!$B$3),Dec!F21,"")</f>
        <v/>
      </c>
      <c r="D20" s="113" t="str">
        <f>IF(AND(ABS(Dec!E21)&gt;קריטריונים!$B$1,Dec!B21&gt;קריטריונים!$B$3),Dec!E21,"")</f>
        <v/>
      </c>
      <c r="E20" s="113">
        <f>IF(AND(ABS(Nov!K21)&gt;קריטריונים!$B$2,Nov!B21&gt;קריטריונים!$B$3),Nov!K21,"")</f>
        <v>0.12843071626661562</v>
      </c>
      <c r="F20" s="113">
        <f>IF(AND(ABS(Nov!J21)&gt;קריטריונים!$B$2,Nov!B21&gt;קריטריונים!$B$3),Nov!J21,"")</f>
        <v>6.8550212804491473E-2</v>
      </c>
      <c r="G20" s="113">
        <f>IF(AND(ABS(Nov!F21)&gt;קריטריונים!$B$1,Nov!B21&gt;קריטריונים!$B$3),Nov!F21,"")</f>
        <v>0.72179429089261427</v>
      </c>
      <c r="H20" s="113">
        <f>IF(AND(ABS(Nov!E21)&gt;קריטריונים!$B$1,Nov!B21&gt;קריטריונים!$B$3),Nov!E21,"")</f>
        <v>0.21872995509942261</v>
      </c>
      <c r="I20" s="113">
        <f>IF(AND(ABS(Oct!K21)&gt;קריטריונים!$B$2,Oct!B21&gt;קריטריונים!$B$3),Oct!K21,"")</f>
        <v>8.3527636812508632E-2</v>
      </c>
      <c r="J20" s="113">
        <f>IF(AND(ABS(Oct!J21)&gt;קריטריונים!$B$2,Oct!B21&gt;קריטריונים!$B$3),Oct!J21,"")</f>
        <v>5.2947252674019785E-2</v>
      </c>
      <c r="K20" s="113">
        <f>IF(AND(ABS(Oct!F21)&gt;קריטריונים!$B$1,Oct!B21&gt;קריטריונים!$B$3),Oct!F21,"")</f>
        <v>0.11409119042706828</v>
      </c>
      <c r="L20" s="113">
        <f>IF(AND(ABS(Oct!E21)&gt;קריטריונים!$B$1,Oct!B21&gt;קריטריונים!$B$3),Oct!E21,"")</f>
        <v>0.19442601194426024</v>
      </c>
      <c r="M20" s="113">
        <f>IF(AND(ABS(Sep!K21)&gt;קריטריונים!$B$2,Sep!B21&gt;קריטריונים!$B$3),Sep!K21,"")</f>
        <v>8.0757652250331935E-2</v>
      </c>
      <c r="N20" s="113">
        <f>IF(AND(ABS(Sep!J21)&gt;קריטריונים!$B$2,Sep!B21&gt;קריטריונים!$B$3),Sep!J21,"")</f>
        <v>4.1422677068881919E-2</v>
      </c>
      <c r="O20" s="113">
        <f>IF(AND(ABS(Sep!F21)&gt;קריטריונים!$B$1,Sep!B21&gt;קריטריונים!$B$3),Sep!F21,"")</f>
        <v>-5.0525601898948835E-2</v>
      </c>
      <c r="P20" s="113">
        <f>IF(AND(ABS(Sep!E21)&gt;קריטריונים!$B$1,Sep!B21&gt;קריטריונים!$B$3),Sep!E21,"")</f>
        <v>-0.20836867401752901</v>
      </c>
      <c r="Q20" s="113">
        <f>IF(AND(ABS(Aug!K21)&gt;קריטריונים!$B$2,Aug!B21&gt;קריטריונים!$B$3),Aug!K21,"")</f>
        <v>9.703045205220362E-2</v>
      </c>
      <c r="R20" s="113">
        <f>IF(AND(ABS(Aug!J21)&gt;קריטריונים!$B$2,Aug!B21&gt;קריטריונים!$B$3),Aug!J21,"")</f>
        <v>7.791108266049962E-2</v>
      </c>
      <c r="S20" s="113">
        <f>IF(AND(ABS(Aug!F21)&gt;קריטריונים!$B$1,Aug!B21&gt;קריטריונים!$B$3),Aug!F21,"")</f>
        <v>-6.6002490660024948E-2</v>
      </c>
      <c r="T20" s="113">
        <f>IF(AND(ABS(Aug!E21)&gt;קריטריונים!$B$1,Aug!B21&gt;קריטריונים!$B$3),Aug!E21,"")</f>
        <v>-5.5564300330552485E-2</v>
      </c>
      <c r="U20" s="113">
        <f>IF(AND(ABS(Jul!K21)&gt;קריטריונים!$B$2,Jul!B21&gt;קריטריונים!$B$3),Jul!K21,"")</f>
        <v>-2.9065002206670409E-2</v>
      </c>
      <c r="V20" s="113">
        <f>IF(AND(ABS(Jul!J21)&gt;קריטריונים!$B$2,Jul!B21&gt;קריטריונים!$B$3),Jul!J21,"")</f>
        <v>9.8065313495270479E-2</v>
      </c>
      <c r="W20" s="113">
        <f>IF(AND(ABS(Jul!F21)&gt;קריטריונים!$B$1,Jul!B21&gt;קריטריונים!$B$3),Jul!F21,"")</f>
        <v>-7.4733096085409345E-2</v>
      </c>
      <c r="X20" s="113">
        <f>IF(AND(ABS(Jul!E21)&gt;קריטריונים!$B$1,Jul!B21&gt;קריטריונים!$B$3),Jul!E21,"")</f>
        <v>-8.861469433538971E-2</v>
      </c>
      <c r="Y20" s="113">
        <f>IF(AND(ABS(Jun!K21)&gt;קריטריונים!$B$2,Jun!B21&gt;קריטריונים!$B$3),Jun!K21,"")</f>
        <v>0.11354201727813318</v>
      </c>
      <c r="Z20" s="113">
        <f>IF(AND(ABS(Jun!J21)&gt;קריטריונים!$B$2,Jun!B21&gt;קריטריונים!$B$3),Jun!J21,"")</f>
        <v>0.13616850781294754</v>
      </c>
      <c r="AA20" s="113">
        <f>IF(AND(ABS(Jun!F21)&gt;קריטריונים!$B$1,Jun!B21&gt;קריטריונים!$B$3),Jun!F21,"")</f>
        <v>4.5793059736967345E-2</v>
      </c>
      <c r="AB20" s="113">
        <f>IF(AND(ABS(Jun!E21)&gt;קריטריונים!$B$1,Jun!B21&gt;קריטריונים!$B$3),Jun!E21,"")</f>
        <v>0.12897707834416705</v>
      </c>
      <c r="AC20" s="113">
        <f>IF(AND(ABS(May!K21)&gt;קריטריונים!$B$2,May!B21&gt;קריטריונים!$B$3),May!K21,"")</f>
        <v>0.18966322826438553</v>
      </c>
      <c r="AD20" s="113">
        <f>IF(AND(ABS(May!J21)&gt;קריטריונים!$B$2,May!B21&gt;קריטריונים!$B$3),May!J21,"")</f>
        <v>0.13761341765191104</v>
      </c>
      <c r="AE20" s="113">
        <f>IF(AND(ABS(May!F21)&gt;קריטריונים!$B$1,May!B21&gt;קריטריונים!$B$3),May!F21,"")</f>
        <v>-2.429978258089327E-3</v>
      </c>
      <c r="AF20" s="113">
        <f>IF(AND(ABS(May!E21)&gt;קריטריונים!$B$1,May!B21&gt;קריטריונים!$B$3),May!E21,"")</f>
        <v>-9.5022624434389136E-2</v>
      </c>
      <c r="AG20" s="113">
        <f>IF(AND(ABS(Apr!K21)&gt;קריטריונים!$B$2,Apr!B21&gt;קריטריונים!$B$3),Apr!K21,"")</f>
        <v>0.2647470505898819</v>
      </c>
      <c r="AH20" s="113">
        <f>IF(AND(ABS(Apr!J21)&gt;קריטריונים!$B$2,Apr!B21&gt;קריטריונים!$B$3),Apr!J21,"")</f>
        <v>0.23553254871319074</v>
      </c>
      <c r="AI20" s="113">
        <f>IF(AND(ABS(Apr!F21)&gt;קריטריונים!$B$1,Apr!B21&gt;קריטריונים!$B$3),Apr!F21,"")</f>
        <v>8.8543740873489929E-2</v>
      </c>
      <c r="AJ20" s="113">
        <f>IF(AND(ABS(Apr!E21)&gt;קריטריונים!$B$1,Apr!B21&gt;קריטריונים!$B$3),Apr!E21,"")</f>
        <v>0.25171729506945484</v>
      </c>
      <c r="AK20" s="113">
        <f>IF(AND(ABS(Mar!K21)&gt;קריטריונים!$B$2,Mar!B21&gt;קריטריונים!$B$3),Mar!K21,"")</f>
        <v>0.3711811402453693</v>
      </c>
      <c r="AL20" s="113">
        <f>IF(AND(ABS(Mar!J21)&gt;קריטריונים!$B$2,Mar!B21&gt;קריטריונים!$B$3),Mar!J21,"")</f>
        <v>0.22791900043084912</v>
      </c>
      <c r="AM20" s="113">
        <f>IF(AND(ABS(Mar!F21)&gt;קריטריונים!$B$1,Mar!B21&gt;קריטריונים!$B$3),Mar!F21,"")</f>
        <v>0.40468227424749159</v>
      </c>
      <c r="AN20" s="113">
        <f>IF(AND(ABS(Mar!E21)&gt;קריטריונים!$B$1,Mar!B21&gt;קריטריונים!$B$3),Mar!E21,"")</f>
        <v>0.13248247348552944</v>
      </c>
      <c r="AO20" s="113">
        <f>IF(AND(ABS(Feb!K21)&gt;קריטריונים!$B$2,Feb!B21&gt;קריטריונים!$B$3),Feb!K21,"")</f>
        <v>0.35236664162284015</v>
      </c>
      <c r="AP20" s="113">
        <f>IF(AND(ABS(Feb!J21)&gt;קריטריונים!$B$2,Feb!B21&gt;קריטריונים!$B$3),Feb!J21,"")</f>
        <v>0.29140260672007678</v>
      </c>
      <c r="AQ20" s="113">
        <f>IF(AND(ABS(Feb!F21)&gt;קריטריונים!$B$1,Feb!B21&gt;קריטריונים!$B$3),Feb!F21,"")</f>
        <v>0.43742953776775639</v>
      </c>
      <c r="AR20" s="113">
        <f>IF(AND(ABS(Feb!E21)&gt;קריטריונים!$B$1,Feb!B21&gt;קריטריונים!$B$3),Feb!E21,"")</f>
        <v>0.25801677355698049</v>
      </c>
      <c r="AS20" s="113">
        <f>IF(AND(ABS(Jan!F21)&gt;קריטריונים!$B$1,Jan!B21&gt;קריטריונים!$B$3),Jan!F21,"")</f>
        <v>0.28436232537178929</v>
      </c>
      <c r="AT20" s="103">
        <f>IF(AND(ABS(Jan!E21)&gt;קריטריונים!$B$1,Jan!B21&gt;קריטריונים!$B$3),Jan!E21,"")</f>
        <v>0.32281271756788121</v>
      </c>
      <c r="AU20" s="118" t="s">
        <v>15</v>
      </c>
      <c r="AV20" s="4"/>
    </row>
    <row r="21" spans="1:48">
      <c r="A21" s="112" t="str">
        <f>IF(AND(ABS(Dec!K22)&gt;קריטריונים!$B$2,Dec!B22&gt;קריטריונים!$B$3),Dec!K22,"")</f>
        <v/>
      </c>
      <c r="B21" s="113" t="str">
        <f>IF(AND(ABS(Dec!J22)&gt;קריטריונים!$B$2,Dec!B22&gt;קריטריונים!$B$3),Dec!J22,"")</f>
        <v/>
      </c>
      <c r="C21" s="113" t="str">
        <f>IF(AND(ABS(Dec!F22)&gt;קריטריונים!$B$1,Dec!B22&gt;קריטריונים!$B$3),Dec!F22,"")</f>
        <v/>
      </c>
      <c r="D21" s="113" t="str">
        <f>IF(AND(ABS(Dec!E22)&gt;קריטריונים!$B$1,Dec!B22&gt;קריטריונים!$B$3),Dec!E22,"")</f>
        <v/>
      </c>
      <c r="E21" s="113" t="str">
        <f>IF(AND(ABS(Nov!K22)&gt;קריטריונים!$B$2,Nov!B22&gt;קריטריונים!$B$3),Nov!K22,"")</f>
        <v/>
      </c>
      <c r="F21" s="113" t="str">
        <f>IF(AND(ABS(Nov!J22)&gt;קריטריונים!$B$2,Nov!B22&gt;קריטריונים!$B$3),Nov!J22,"")</f>
        <v/>
      </c>
      <c r="G21" s="113" t="str">
        <f>IF(AND(ABS(Nov!F22)&gt;קריטריונים!$B$1,Nov!B22&gt;קריטריונים!$B$3),Nov!F22,"")</f>
        <v/>
      </c>
      <c r="H21" s="113" t="str">
        <f>IF(AND(ABS(Nov!E22)&gt;קריטריונים!$B$1,Nov!B22&gt;קריטריונים!$B$3),Nov!E22,"")</f>
        <v/>
      </c>
      <c r="I21" s="113" t="str">
        <f>IF(AND(ABS(Oct!K22)&gt;קריטריונים!$B$2,Oct!B22&gt;קריטריונים!$B$3),Oct!K22,"")</f>
        <v/>
      </c>
      <c r="J21" s="113" t="str">
        <f>IF(AND(ABS(Oct!J22)&gt;קריטריונים!$B$2,Oct!B22&gt;קריטריונים!$B$3),Oct!J22,"")</f>
        <v/>
      </c>
      <c r="K21" s="113" t="str">
        <f>IF(AND(ABS(Oct!F22)&gt;קריטריונים!$B$1,Oct!B22&gt;קריטריונים!$B$3),Oct!F22,"")</f>
        <v/>
      </c>
      <c r="L21" s="113" t="str">
        <f>IF(AND(ABS(Oct!E22)&gt;קריטריונים!$B$1,Oct!B22&gt;קריטריונים!$B$3),Oct!E22,"")</f>
        <v/>
      </c>
      <c r="M21" s="113" t="str">
        <f>IF(AND(ABS(Sep!K22)&gt;קריטריונים!$B$2,Sep!B22&gt;קריטריונים!$B$3),Sep!K22,"")</f>
        <v/>
      </c>
      <c r="N21" s="113" t="str">
        <f>IF(AND(ABS(Sep!J22)&gt;קריטריונים!$B$2,Sep!B22&gt;קריטריונים!$B$3),Sep!J22,"")</f>
        <v/>
      </c>
      <c r="O21" s="113" t="str">
        <f>IF(AND(ABS(Sep!F22)&gt;קריטריונים!$B$1,Sep!B22&gt;קריטריונים!$B$3),Sep!F22,"")</f>
        <v/>
      </c>
      <c r="P21" s="113" t="str">
        <f>IF(AND(ABS(Sep!E22)&gt;קריטריונים!$B$1,Sep!B22&gt;קריטריונים!$B$3),Sep!E22,"")</f>
        <v/>
      </c>
      <c r="Q21" s="113" t="str">
        <f>IF(AND(ABS(Aug!K22)&gt;קריטריונים!$B$2,Aug!B22&gt;קריטריונים!$B$3),Aug!K22,"")</f>
        <v/>
      </c>
      <c r="R21" s="113" t="str">
        <f>IF(AND(ABS(Aug!J22)&gt;קריטריונים!$B$2,Aug!B22&gt;קריטריונים!$B$3),Aug!J22,"")</f>
        <v/>
      </c>
      <c r="S21" s="113" t="str">
        <f>IF(AND(ABS(Aug!F22)&gt;קריטריונים!$B$1,Aug!B22&gt;קריטריונים!$B$3),Aug!F22,"")</f>
        <v/>
      </c>
      <c r="T21" s="113" t="str">
        <f>IF(AND(ABS(Aug!E22)&gt;קריטריונים!$B$1,Aug!B22&gt;קריטריונים!$B$3),Aug!E22,"")</f>
        <v/>
      </c>
      <c r="U21" s="113" t="str">
        <f>IF(AND(ABS(Jul!K22)&gt;קריטריונים!$B$2,Jul!B22&gt;קריטריונים!$B$3),Jul!K22,"")</f>
        <v/>
      </c>
      <c r="V21" s="113" t="str">
        <f>IF(AND(ABS(Jul!J22)&gt;קריטריונים!$B$2,Jul!B22&gt;קריטריונים!$B$3),Jul!J22,"")</f>
        <v/>
      </c>
      <c r="W21" s="113" t="str">
        <f>IF(AND(ABS(Jul!F22)&gt;קריטריונים!$B$1,Jul!B22&gt;קריטריונים!$B$3),Jul!F22,"")</f>
        <v/>
      </c>
      <c r="X21" s="113" t="str">
        <f>IF(AND(ABS(Jul!E22)&gt;קריטריונים!$B$1,Jul!B22&gt;קריטריונים!$B$3),Jul!E22,"")</f>
        <v/>
      </c>
      <c r="Y21" s="113" t="str">
        <f>IF(AND(ABS(Jun!K22)&gt;קריטריונים!$B$2,Jun!B22&gt;קריטריונים!$B$3),Jun!K22,"")</f>
        <v/>
      </c>
      <c r="Z21" s="113" t="str">
        <f>IF(AND(ABS(Jun!J22)&gt;קריטריונים!$B$2,Jun!B22&gt;קריטריונים!$B$3),Jun!J22,"")</f>
        <v/>
      </c>
      <c r="AA21" s="113" t="str">
        <f>IF(AND(ABS(Jun!F22)&gt;קריטריונים!$B$1,Jun!B22&gt;קריטריונים!$B$3),Jun!F22,"")</f>
        <v/>
      </c>
      <c r="AB21" s="113" t="str">
        <f>IF(AND(ABS(Jun!E22)&gt;קריטריונים!$B$1,Jun!B22&gt;קריטריונים!$B$3),Jun!E22,"")</f>
        <v/>
      </c>
      <c r="AC21" s="113" t="str">
        <f>IF(AND(ABS(May!K22)&gt;קריטריונים!$B$2,May!B22&gt;קריטריונים!$B$3),May!K22,"")</f>
        <v/>
      </c>
      <c r="AD21" s="113" t="str">
        <f>IF(AND(ABS(May!J22)&gt;קריטריונים!$B$2,May!B22&gt;קריטריונים!$B$3),May!J22,"")</f>
        <v/>
      </c>
      <c r="AE21" s="113" t="str">
        <f>IF(AND(ABS(May!F22)&gt;קריטריונים!$B$1,May!B22&gt;קריטריונים!$B$3),May!F22,"")</f>
        <v/>
      </c>
      <c r="AF21" s="113" t="str">
        <f>IF(AND(ABS(May!E22)&gt;קריטריונים!$B$1,May!B22&gt;קריטריונים!$B$3),May!E22,"")</f>
        <v/>
      </c>
      <c r="AG21" s="113" t="str">
        <f>IF(AND(ABS(Apr!K22)&gt;קריטריונים!$B$2,Apr!B22&gt;קריטריונים!$B$3),Apr!K22,"")</f>
        <v/>
      </c>
      <c r="AH21" s="113" t="str">
        <f>IF(AND(ABS(Apr!J22)&gt;קריטריונים!$B$2,Apr!B22&gt;קריטריונים!$B$3),Apr!J22,"")</f>
        <v/>
      </c>
      <c r="AI21" s="113" t="str">
        <f>IF(AND(ABS(Apr!F22)&gt;קריטריונים!$B$1,Apr!B22&gt;קריטריונים!$B$3),Apr!F22,"")</f>
        <v/>
      </c>
      <c r="AJ21" s="113" t="str">
        <f>IF(AND(ABS(Apr!E22)&gt;קריטריונים!$B$1,Apr!B22&gt;קריטריונים!$B$3),Apr!E22,"")</f>
        <v/>
      </c>
      <c r="AK21" s="113" t="str">
        <f>IF(AND(ABS(Mar!K22)&gt;קריטריונים!$B$2,Mar!B22&gt;קריטריונים!$B$3),Mar!K22,"")</f>
        <v/>
      </c>
      <c r="AL21" s="113" t="str">
        <f>IF(AND(ABS(Mar!J22)&gt;קריטריונים!$B$2,Mar!B22&gt;קריטריונים!$B$3),Mar!J22,"")</f>
        <v/>
      </c>
      <c r="AM21" s="113" t="str">
        <f>IF(AND(ABS(Mar!F22)&gt;קריטריונים!$B$1,Mar!B22&gt;קריטריונים!$B$3),Mar!F22,"")</f>
        <v/>
      </c>
      <c r="AN21" s="113" t="str">
        <f>IF(AND(ABS(Mar!E22)&gt;קריטריונים!$B$1,Mar!B22&gt;קריטריונים!$B$3),Mar!E22,"")</f>
        <v/>
      </c>
      <c r="AO21" s="113" t="str">
        <f>IF(AND(ABS(Feb!K22)&gt;קריטריונים!$B$2,Feb!B22&gt;קריטריונים!$B$3),Feb!K22,"")</f>
        <v/>
      </c>
      <c r="AP21" s="113" t="str">
        <f>IF(AND(ABS(Feb!J22)&gt;קריטריונים!$B$2,Feb!B22&gt;קריטריונים!$B$3),Feb!J22,"")</f>
        <v/>
      </c>
      <c r="AQ21" s="113" t="str">
        <f>IF(AND(ABS(Feb!F22)&gt;קריטריונים!$B$1,Feb!B22&gt;קריטריונים!$B$3),Feb!F22,"")</f>
        <v/>
      </c>
      <c r="AR21" s="113" t="str">
        <f>IF(AND(ABS(Feb!E22)&gt;קריטריונים!$B$1,Feb!B22&gt;קריטריונים!$B$3),Feb!E22,"")</f>
        <v/>
      </c>
      <c r="AS21" s="113" t="str">
        <f>IF(AND(ABS(Jan!F22)&gt;קריטריונים!$B$1,Jan!B22&gt;קריטריונים!$B$3),Jan!F22,"")</f>
        <v/>
      </c>
      <c r="AT21" s="103" t="str">
        <f>IF(AND(ABS(Jan!E22)&gt;קריטריונים!$B$1,Jan!B22&gt;קריטריונים!$B$3),Jan!E22,"")</f>
        <v/>
      </c>
      <c r="AU21" s="118" t="s">
        <v>16</v>
      </c>
      <c r="AV21" s="4"/>
    </row>
    <row r="22" spans="1:48">
      <c r="A22" s="112" t="str">
        <f>IF(AND(ABS(Dec!K23)&gt;קריטריונים!$B$2,Dec!B23&gt;קריטריונים!$B$3),Dec!K23,"")</f>
        <v/>
      </c>
      <c r="B22" s="113" t="str">
        <f>IF(AND(ABS(Dec!J23)&gt;קריטריונים!$B$2,Dec!B23&gt;קריטריונים!$B$3),Dec!J23,"")</f>
        <v/>
      </c>
      <c r="C22" s="113" t="str">
        <f>IF(AND(ABS(Dec!F23)&gt;קריטריונים!$B$1,Dec!B23&gt;קריטריונים!$B$3),Dec!F23,"")</f>
        <v/>
      </c>
      <c r="D22" s="113" t="str">
        <f>IF(AND(ABS(Dec!E23)&gt;קריטריונים!$B$1,Dec!B23&gt;קריטריונים!$B$3),Dec!E23,"")</f>
        <v/>
      </c>
      <c r="E22" s="113">
        <f>IF(AND(ABS(Nov!K23)&gt;קריטריונים!$B$2,Nov!B23&gt;קריטריונים!$B$3),Nov!K23,"")</f>
        <v>0.52659089023479599</v>
      </c>
      <c r="F22" s="113">
        <f>IF(AND(ABS(Nov!J23)&gt;קריטריונים!$B$2,Nov!B23&gt;קריטריונים!$B$3),Nov!J23,"")</f>
        <v>0.1874798322039366</v>
      </c>
      <c r="G22" s="113">
        <f>IF(AND(ABS(Nov!F23)&gt;קריטריונים!$B$1,Nov!B23&gt;קריטריונים!$B$3),Nov!F23,"")</f>
        <v>1.7127659574468086</v>
      </c>
      <c r="H22" s="113">
        <f>IF(AND(ABS(Nov!E23)&gt;קריטריונים!$B$1,Nov!B23&gt;קריטריונים!$B$3),Nov!E23,"")</f>
        <v>0.42577578976796193</v>
      </c>
      <c r="I22" s="113">
        <f>IF(AND(ABS(Oct!K23)&gt;קריטריונים!$B$2,Oct!B23&gt;קריטריונים!$B$3),Oct!K23,"")</f>
        <v>0.42625753621884277</v>
      </c>
      <c r="J22" s="113">
        <f>IF(AND(ABS(Oct!J23)&gt;קריטריונים!$B$2,Oct!B23&gt;קריטריונים!$B$3),Oct!J23,"")</f>
        <v>0.15638565644037472</v>
      </c>
      <c r="K22" s="113">
        <f>IF(AND(ABS(Oct!F23)&gt;קריטריונים!$B$1,Oct!B23&gt;קריטריונים!$B$3),Oct!F23,"")</f>
        <v>0.82734719596723383</v>
      </c>
      <c r="L22" s="113">
        <f>IF(AND(ABS(Oct!E23)&gt;קריטריונים!$B$1,Oct!B23&gt;קריטריונים!$B$3),Oct!E23,"")</f>
        <v>0.33887349953831958</v>
      </c>
      <c r="M22" s="113">
        <f>IF(AND(ABS(Sep!K23)&gt;קריטריונים!$B$2,Sep!B23&gt;קריטריונים!$B$3),Sep!K23,"")</f>
        <v>0.39541644459518399</v>
      </c>
      <c r="N22" s="113">
        <f>IF(AND(ABS(Sep!J23)&gt;קריטריונים!$B$2,Sep!B23&gt;קריטריונים!$B$3),Sep!J23,"")</f>
        <v>0.1407295916346496</v>
      </c>
      <c r="O22" s="113">
        <f>IF(AND(ABS(Sep!F23)&gt;קריטריונים!$B$1,Sep!B23&gt;קריטריונים!$B$3),Sep!F23,"")</f>
        <v>0.39647844565877333</v>
      </c>
      <c r="P22" s="113">
        <f>IF(AND(ABS(Sep!E23)&gt;קריטריונים!$B$1,Sep!B23&gt;קריטריונים!$B$3),Sep!E23,"")</f>
        <v>-0.15627292736610421</v>
      </c>
      <c r="Q22" s="113">
        <f>IF(AND(ABS(Aug!K23)&gt;קריטריונים!$B$2,Aug!B23&gt;קריטריונים!$B$3),Aug!K23,"")</f>
        <v>0.39532434709351305</v>
      </c>
      <c r="R22" s="113">
        <f>IF(AND(ABS(Aug!J23)&gt;קריטריונים!$B$2,Aug!B23&gt;קריטריונים!$B$3),Aug!J23,"")</f>
        <v>0.17667954353714288</v>
      </c>
      <c r="S22" s="113">
        <f>IF(AND(ABS(Aug!F23)&gt;קריטריונים!$B$1,Aug!B23&gt;קריטריונים!$B$3),Aug!F23,"")</f>
        <v>0.38801261829653022</v>
      </c>
      <c r="T22" s="113">
        <f>IF(AND(ABS(Aug!E23)&gt;קריטריונים!$B$1,Aug!B23&gt;קריטריונים!$B$3),Aug!E23,"")</f>
        <v>0.13226968605249612</v>
      </c>
      <c r="U22" s="113">
        <f>IF(AND(ABS(Jul!K23)&gt;קריטריונים!$B$2,Jul!B23&gt;קריטריונים!$B$3),Jul!K23,"")</f>
        <v>0.27948609941027791</v>
      </c>
      <c r="V22" s="113">
        <f>IF(AND(ABS(Jul!J23)&gt;קריטריונים!$B$2,Jul!B23&gt;קריטריונים!$B$3),Jul!J23,"")</f>
        <v>0.18087277675187075</v>
      </c>
      <c r="W22" s="113">
        <f>IF(AND(ABS(Jul!F23)&gt;קריטריונים!$B$1,Jul!B23&gt;קריטריונים!$B$3),Jul!F23,"")</f>
        <v>0.28923766816143481</v>
      </c>
      <c r="X22" s="113">
        <f>IF(AND(ABS(Jul!E23)&gt;קריטריונים!$B$1,Jul!B23&gt;קריטריונים!$B$3),Jul!E23,"")</f>
        <v>0.123046875</v>
      </c>
      <c r="Y22" s="113">
        <f>IF(AND(ABS(Jun!K23)&gt;קריטריונים!$B$2,Jun!B23&gt;קריטריונים!$B$3),Jun!K23,"")</f>
        <v>0.36467961044600217</v>
      </c>
      <c r="Z22" s="113">
        <f>IF(AND(ABS(Jun!J23)&gt;קריטריונים!$B$2,Jun!B23&gt;קריטריונים!$B$3),Jun!J23,"")</f>
        <v>0.18726389638424168</v>
      </c>
      <c r="AA22" s="113">
        <f>IF(AND(ABS(Jun!F23)&gt;קריטריונים!$B$1,Jun!B23&gt;קריטריונים!$B$3),Jun!F23,"")</f>
        <v>0.12697220135236664</v>
      </c>
      <c r="AB22" s="113">
        <f>IF(AND(ABS(Jun!E23)&gt;קריטריונים!$B$1,Jun!B23&gt;קריטריונים!$B$3),Jun!E23,"")</f>
        <v>4.9317943336831149E-2</v>
      </c>
      <c r="AC22" s="113">
        <f>IF(AND(ABS(May!K23)&gt;קריטריונים!$B$2,May!B23&gt;קריטריונים!$B$3),May!K23,"")</f>
        <v>0.46593627034951002</v>
      </c>
      <c r="AD22" s="113">
        <f>IF(AND(ABS(May!J23)&gt;קריטריונים!$B$2,May!B23&gt;קריטריונים!$B$3),May!J23,"")</f>
        <v>0.21243060430093808</v>
      </c>
      <c r="AE22" s="113">
        <f>IF(AND(ABS(May!F23)&gt;קריטריונים!$B$1,May!B23&gt;קריטריונים!$B$3),May!F23,"")</f>
        <v>0.19893428063943186</v>
      </c>
      <c r="AF22" s="113">
        <f>IF(AND(ABS(May!E23)&gt;קריטריונים!$B$1,May!B23&gt;קריטריונים!$B$3),May!E23,"")</f>
        <v>-5.7920446615491894E-2</v>
      </c>
      <c r="AG22" s="113">
        <f>IF(AND(ABS(Apr!K23)&gt;קריטריונים!$B$2,Apr!B23&gt;קריטריונים!$B$3),Apr!K23,"")</f>
        <v>0.60813527255527955</v>
      </c>
      <c r="AH22" s="113">
        <f>IF(AND(ABS(Apr!J23)&gt;קריטריונים!$B$2,Apr!B23&gt;קריטריונים!$B$3),Apr!J23,"")</f>
        <v>0.36834691618875137</v>
      </c>
      <c r="AI22" s="113">
        <f>IF(AND(ABS(Apr!F23)&gt;קריטריונים!$B$1,Apr!B23&gt;קריטריונים!$B$3),Apr!F23,"")</f>
        <v>0.31663455362877313</v>
      </c>
      <c r="AJ22" s="113">
        <f>IF(AND(ABS(Apr!E23)&gt;קריטריונים!$B$1,Apr!B23&gt;קריטריונים!$B$3),Apr!E23,"")</f>
        <v>0.65255945183393793</v>
      </c>
      <c r="AK22" s="113">
        <f>IF(AND(ABS(Mar!K23)&gt;קריטריונים!$B$2,Mar!B23&gt;קריטריונים!$B$3),Mar!K23,"")</f>
        <v>0.77802732547258091</v>
      </c>
      <c r="AL22" s="113">
        <f>IF(AND(ABS(Mar!J23)&gt;קריטריונים!$B$2,Mar!B23&gt;קריטריונים!$B$3),Mar!J23,"")</f>
        <v>0.2737999463663181</v>
      </c>
      <c r="AM22" s="113">
        <f>IF(AND(ABS(Mar!F23)&gt;קריטריונים!$B$1,Mar!B23&gt;קריטריונים!$B$3),Mar!F23,"")</f>
        <v>0.82094081942336872</v>
      </c>
      <c r="AN22" s="113">
        <f>IF(AND(ABS(Mar!E23)&gt;קריטריונים!$B$1,Mar!B23&gt;קריטריונים!$B$3),Mar!E23,"")</f>
        <v>0.23414466918066523</v>
      </c>
      <c r="AO22" s="113">
        <f>IF(AND(ABS(Feb!K23)&gt;קריטריונים!$B$2,Feb!B23&gt;קריטריונים!$B$3),Feb!K23,"")</f>
        <v>0.75282234105763557</v>
      </c>
      <c r="AP22" s="113">
        <f>IF(AND(ABS(Feb!J23)&gt;קריטריונים!$B$2,Feb!B23&gt;קריטריונים!$B$3),Feb!J23,"")</f>
        <v>0.29927328782206564</v>
      </c>
      <c r="AQ22" s="113">
        <f>IF(AND(ABS(Feb!F23)&gt;קריטריונים!$B$1,Feb!B23&gt;קריטריונים!$B$3),Feb!F23,"")</f>
        <v>0.82965299684542582</v>
      </c>
      <c r="AR22" s="113">
        <f>IF(AND(ABS(Feb!E23)&gt;קריטריונים!$B$1,Feb!B23&gt;קריטריונים!$B$3),Feb!E23,"")</f>
        <v>0.22881355932203395</v>
      </c>
      <c r="AS22" s="113">
        <f>IF(AND(ABS(Jan!F23)&gt;קריטריונים!$B$1,Jan!B23&gt;קריטריונים!$B$3),Jan!F23,"")</f>
        <v>0.68444693992139261</v>
      </c>
      <c r="AT22" s="103">
        <f>IF(AND(ABS(Jan!E23)&gt;קריטריונים!$B$1,Jan!B23&gt;קריטריונים!$B$3),Jan!E23,"")</f>
        <v>0.37551581843191184</v>
      </c>
      <c r="AU22" s="118" t="s">
        <v>17</v>
      </c>
      <c r="AV22" s="4"/>
    </row>
    <row r="23" spans="1:48">
      <c r="A23" s="112" t="str">
        <f>IF(AND(ABS(Dec!K24)&gt;קריטריונים!$B$2,Dec!B24&gt;קריטריונים!$B$3),Dec!K24,"")</f>
        <v/>
      </c>
      <c r="B23" s="113" t="str">
        <f>IF(AND(ABS(Dec!J24)&gt;קריטריונים!$B$2,Dec!B24&gt;קריטריונים!$B$3),Dec!J24,"")</f>
        <v/>
      </c>
      <c r="C23" s="113" t="str">
        <f>IF(AND(ABS(Dec!F24)&gt;קריטריונים!$B$1,Dec!B24&gt;קריטריונים!$B$3),Dec!F24,"")</f>
        <v/>
      </c>
      <c r="D23" s="113" t="str">
        <f>IF(AND(ABS(Dec!E24)&gt;קריטריונים!$B$1,Dec!B24&gt;קריטריונים!$B$3),Dec!E24,"")</f>
        <v/>
      </c>
      <c r="E23" s="113" t="str">
        <f>IF(AND(ABS(Nov!K24)&gt;קריטריונים!$B$2,Nov!B24&gt;קריטריונים!$B$3),Nov!K24,"")</f>
        <v/>
      </c>
      <c r="F23" s="113" t="str">
        <f>IF(AND(ABS(Nov!J24)&gt;קריטריונים!$B$2,Nov!B24&gt;קריטריונים!$B$3),Nov!J24,"")</f>
        <v/>
      </c>
      <c r="G23" s="113" t="str">
        <f>IF(AND(ABS(Nov!F24)&gt;קריטריונים!$B$1,Nov!B24&gt;קריטריונים!$B$3),Nov!F24,"")</f>
        <v/>
      </c>
      <c r="H23" s="113" t="str">
        <f>IF(AND(ABS(Nov!E24)&gt;קריטריונים!$B$1,Nov!B24&gt;קריטריונים!$B$3),Nov!E24,"")</f>
        <v/>
      </c>
      <c r="I23" s="113" t="str">
        <f>IF(AND(ABS(Oct!K24)&gt;קריטריונים!$B$2,Oct!B24&gt;קריטריונים!$B$3),Oct!K24,"")</f>
        <v/>
      </c>
      <c r="J23" s="113" t="str">
        <f>IF(AND(ABS(Oct!J24)&gt;קריטריונים!$B$2,Oct!B24&gt;קריטריונים!$B$3),Oct!J24,"")</f>
        <v/>
      </c>
      <c r="K23" s="113" t="str">
        <f>IF(AND(ABS(Oct!F24)&gt;קריטריונים!$B$1,Oct!B24&gt;קריטריונים!$B$3),Oct!F24,"")</f>
        <v/>
      </c>
      <c r="L23" s="113" t="str">
        <f>IF(AND(ABS(Oct!E24)&gt;קריטריונים!$B$1,Oct!B24&gt;קריטריונים!$B$3),Oct!E24,"")</f>
        <v/>
      </c>
      <c r="M23" s="113" t="str">
        <f>IF(AND(ABS(Sep!K24)&gt;קריטריונים!$B$2,Sep!B24&gt;קריטריונים!$B$3),Sep!K24,"")</f>
        <v/>
      </c>
      <c r="N23" s="113" t="str">
        <f>IF(AND(ABS(Sep!J24)&gt;קריטריונים!$B$2,Sep!B24&gt;קריטריונים!$B$3),Sep!J24,"")</f>
        <v/>
      </c>
      <c r="O23" s="113" t="str">
        <f>IF(AND(ABS(Sep!F24)&gt;קריטריונים!$B$1,Sep!B24&gt;קריטריונים!$B$3),Sep!F24,"")</f>
        <v/>
      </c>
      <c r="P23" s="113" t="str">
        <f>IF(AND(ABS(Sep!E24)&gt;קריטריונים!$B$1,Sep!B24&gt;קריטריונים!$B$3),Sep!E24,"")</f>
        <v/>
      </c>
      <c r="Q23" s="113" t="str">
        <f>IF(AND(ABS(Aug!K24)&gt;קריטריונים!$B$2,Aug!B24&gt;קריטריונים!$B$3),Aug!K24,"")</f>
        <v/>
      </c>
      <c r="R23" s="113" t="str">
        <f>IF(AND(ABS(Aug!J24)&gt;קריטריונים!$B$2,Aug!B24&gt;קריטריונים!$B$3),Aug!J24,"")</f>
        <v/>
      </c>
      <c r="S23" s="113" t="str">
        <f>IF(AND(ABS(Aug!F24)&gt;קריטריונים!$B$1,Aug!B24&gt;קריטריונים!$B$3),Aug!F24,"")</f>
        <v/>
      </c>
      <c r="T23" s="113" t="str">
        <f>IF(AND(ABS(Aug!E24)&gt;קריטריונים!$B$1,Aug!B24&gt;קריטריונים!$B$3),Aug!E24,"")</f>
        <v/>
      </c>
      <c r="U23" s="113">
        <f>IF(AND(ABS(Jul!K24)&gt;קריטריונים!$B$2,Jul!B24&gt;קריטריונים!$B$3),Jul!K24,"")</f>
        <v>-0.34603533924416774</v>
      </c>
      <c r="V23" s="113">
        <f>IF(AND(ABS(Jul!J24)&gt;קריטריונים!$B$2,Jul!B24&gt;קריטריונים!$B$3),Jul!J24,"")</f>
        <v>-5.8226931087566713E-2</v>
      </c>
      <c r="W23" s="113">
        <f>IF(AND(ABS(Jul!F24)&gt;קריטריונים!$B$1,Jul!B24&gt;קריטריונים!$B$3),Jul!F24,"")</f>
        <v>-0.2896174863387978</v>
      </c>
      <c r="X23" s="113">
        <f>IF(AND(ABS(Jul!E24)&gt;קריטריונים!$B$1,Jul!B24&gt;קריטריונים!$B$3),Jul!E24,"")</f>
        <v>-0.23439340400471143</v>
      </c>
      <c r="Y23" s="113">
        <f>IF(AND(ABS(Jun!K24)&gt;קריטריונים!$B$2,Jun!B24&gt;קריטריונים!$B$3),Jun!K24,"")</f>
        <v>-0.18273260687342829</v>
      </c>
      <c r="Z23" s="113">
        <f>IF(AND(ABS(Jun!J24)&gt;קריטריונים!$B$2,Jun!B24&gt;קריטריונים!$B$3),Jun!J24,"")</f>
        <v>2.000784621420193E-2</v>
      </c>
      <c r="AA23" s="113">
        <f>IF(AND(ABS(Jun!F24)&gt;קריטריונים!$B$1,Jun!B24&gt;קריטריונים!$B$3),Jun!F24,"")</f>
        <v>3.7037037037037202E-2</v>
      </c>
      <c r="AB23" s="113">
        <f>IF(AND(ABS(Jun!E24)&gt;קריטריונים!$B$1,Jun!B24&gt;קריטריונים!$B$3),Jun!E24,"")</f>
        <v>0.29469790382244132</v>
      </c>
      <c r="AC23" s="113" t="str">
        <f>IF(AND(ABS(May!K24)&gt;קריטריונים!$B$2,May!B24&gt;קריטריונים!$B$3),May!K24,"")</f>
        <v/>
      </c>
      <c r="AD23" s="113" t="str">
        <f>IF(AND(ABS(May!J24)&gt;קריטריונים!$B$2,May!B24&gt;קריטריונים!$B$3),May!J24,"")</f>
        <v/>
      </c>
      <c r="AE23" s="113" t="str">
        <f>IF(AND(ABS(May!F24)&gt;קריטריונים!$B$1,May!B24&gt;קריטריונים!$B$3),May!F24,"")</f>
        <v/>
      </c>
      <c r="AF23" s="113" t="str">
        <f>IF(AND(ABS(May!E24)&gt;קריטריונים!$B$1,May!B24&gt;קריטריונים!$B$3),May!E24,"")</f>
        <v/>
      </c>
      <c r="AG23" s="113" t="str">
        <f>IF(AND(ABS(Apr!K24)&gt;קריטריונים!$B$2,Apr!B24&gt;קריטריונים!$B$3),Apr!K24,"")</f>
        <v/>
      </c>
      <c r="AH23" s="113" t="str">
        <f>IF(AND(ABS(Apr!J24)&gt;קריטריונים!$B$2,Apr!B24&gt;קריטריונים!$B$3),Apr!J24,"")</f>
        <v/>
      </c>
      <c r="AI23" s="113" t="str">
        <f>IF(AND(ABS(Apr!F24)&gt;קריטריונים!$B$1,Apr!B24&gt;קריטריונים!$B$3),Apr!F24,"")</f>
        <v/>
      </c>
      <c r="AJ23" s="113" t="str">
        <f>IF(AND(ABS(Apr!E24)&gt;קריטריונים!$B$1,Apr!B24&gt;קריטריונים!$B$3),Apr!E24,"")</f>
        <v/>
      </c>
      <c r="AK23" s="113" t="str">
        <f>IF(AND(ABS(Mar!K24)&gt;קריטריונים!$B$2,Mar!B24&gt;קריטריונים!$B$3),Mar!K24,"")</f>
        <v/>
      </c>
      <c r="AL23" s="113" t="str">
        <f>IF(AND(ABS(Mar!J24)&gt;קריטריונים!$B$2,Mar!B24&gt;קריטריונים!$B$3),Mar!J24,"")</f>
        <v/>
      </c>
      <c r="AM23" s="113" t="str">
        <f>IF(AND(ABS(Mar!F24)&gt;קריטריונים!$B$1,Mar!B24&gt;קריטריונים!$B$3),Mar!F24,"")</f>
        <v/>
      </c>
      <c r="AN23" s="113" t="str">
        <f>IF(AND(ABS(Mar!E24)&gt;קריטריונים!$B$1,Mar!B24&gt;קריטריונים!$B$3),Mar!E24,"")</f>
        <v/>
      </c>
      <c r="AO23" s="113" t="str">
        <f>IF(AND(ABS(Feb!K24)&gt;קריטריונים!$B$2,Feb!B24&gt;קריטריונים!$B$3),Feb!K24,"")</f>
        <v/>
      </c>
      <c r="AP23" s="113" t="str">
        <f>IF(AND(ABS(Feb!J24)&gt;קריטריונים!$B$2,Feb!B24&gt;קריטריונים!$B$3),Feb!J24,"")</f>
        <v/>
      </c>
      <c r="AQ23" s="113" t="str">
        <f>IF(AND(ABS(Feb!F24)&gt;קריטריונים!$B$1,Feb!B24&gt;קריטריונים!$B$3),Feb!F24,"")</f>
        <v/>
      </c>
      <c r="AR23" s="113" t="str">
        <f>IF(AND(ABS(Feb!E24)&gt;קריטריונים!$B$1,Feb!B24&gt;קריטריונים!$B$3),Feb!E24,"")</f>
        <v/>
      </c>
      <c r="AS23" s="113" t="str">
        <f>IF(AND(ABS(Jan!F24)&gt;קריטריונים!$B$1,Jan!B24&gt;קריטריונים!$B$3),Jan!F24,"")</f>
        <v/>
      </c>
      <c r="AT23" s="103" t="str">
        <f>IF(AND(ABS(Jan!E24)&gt;קריטריונים!$B$1,Jan!B24&gt;קריטריונים!$B$3),Jan!E24,"")</f>
        <v/>
      </c>
      <c r="AU23" s="118" t="s">
        <v>18</v>
      </c>
      <c r="AV23" s="4"/>
    </row>
    <row r="24" spans="1:48">
      <c r="A24" s="112" t="str">
        <f>IF(AND(ABS(Dec!K25)&gt;קריטריונים!$B$2,Dec!B25&gt;קריטריונים!$B$3),Dec!K25,"")</f>
        <v/>
      </c>
      <c r="B24" s="113" t="str">
        <f>IF(AND(ABS(Dec!J25)&gt;קריטריונים!$B$2,Dec!B25&gt;קריטריונים!$B$3),Dec!J25,"")</f>
        <v/>
      </c>
      <c r="C24" s="113" t="str">
        <f>IF(AND(ABS(Dec!F25)&gt;קריטריונים!$B$1,Dec!B25&gt;קריטריונים!$B$3),Dec!F25,"")</f>
        <v/>
      </c>
      <c r="D24" s="113" t="str">
        <f>IF(AND(ABS(Dec!E25)&gt;קריטריונים!$B$1,Dec!B25&gt;קריטריונים!$B$3),Dec!E25,"")</f>
        <v/>
      </c>
      <c r="E24" s="113" t="str">
        <f>IF(AND(ABS(Nov!K25)&gt;קריטריונים!$B$2,Nov!B25&gt;קריטריונים!$B$3),Nov!K25,"")</f>
        <v/>
      </c>
      <c r="F24" s="113" t="str">
        <f>IF(AND(ABS(Nov!J25)&gt;קריטריונים!$B$2,Nov!B25&gt;קריטריונים!$B$3),Nov!J25,"")</f>
        <v/>
      </c>
      <c r="G24" s="113" t="str">
        <f>IF(AND(ABS(Nov!F25)&gt;קריטריונים!$B$1,Nov!B25&gt;קריטריונים!$B$3),Nov!F25,"")</f>
        <v/>
      </c>
      <c r="H24" s="113" t="str">
        <f>IF(AND(ABS(Nov!E25)&gt;קריטריונים!$B$1,Nov!B25&gt;קריטריונים!$B$3),Nov!E25,"")</f>
        <v/>
      </c>
      <c r="I24" s="113" t="str">
        <f>IF(AND(ABS(Oct!K25)&gt;קריטריונים!$B$2,Oct!B25&gt;קריטריונים!$B$3),Oct!K25,"")</f>
        <v/>
      </c>
      <c r="J24" s="113" t="str">
        <f>IF(AND(ABS(Oct!J25)&gt;קריטריונים!$B$2,Oct!B25&gt;קריטריונים!$B$3),Oct!J25,"")</f>
        <v/>
      </c>
      <c r="K24" s="113" t="str">
        <f>IF(AND(ABS(Oct!F25)&gt;קריטריונים!$B$1,Oct!B25&gt;קריטריונים!$B$3),Oct!F25,"")</f>
        <v/>
      </c>
      <c r="L24" s="113" t="str">
        <f>IF(AND(ABS(Oct!E25)&gt;קריטריונים!$B$1,Oct!B25&gt;קריטריונים!$B$3),Oct!E25,"")</f>
        <v/>
      </c>
      <c r="M24" s="113">
        <f>IF(AND(ABS(Sep!K25)&gt;קריטריונים!$B$2,Sep!B25&gt;קריטריונים!$B$3),Sep!K25,"")</f>
        <v>-4.041336039859722E-2</v>
      </c>
      <c r="N24" s="113">
        <f>IF(AND(ABS(Sep!J25)&gt;קריטריונים!$B$2,Sep!B25&gt;קריטריונים!$B$3),Sep!J25,"")</f>
        <v>-2.2648247345174122E-2</v>
      </c>
      <c r="O24" s="113">
        <f>IF(AND(ABS(Sep!F25)&gt;קריטריונים!$B$1,Sep!B25&gt;קריטריונים!$B$3),Sep!F25,"")</f>
        <v>1.3513513513513598E-2</v>
      </c>
      <c r="P24" s="113">
        <f>IF(AND(ABS(Sep!E25)&gt;קריטריונים!$B$1,Sep!B25&gt;קריטריונים!$B$3),Sep!E25,"")</f>
        <v>5.9446733372572114E-2</v>
      </c>
      <c r="Q24" s="113">
        <f>IF(AND(ABS(Aug!K25)&gt;קריטריונים!$B$2,Aug!B25&gt;קריטריונים!$B$3),Aug!K25,"")</f>
        <v>-5.0982123151621983E-2</v>
      </c>
      <c r="R24" s="113">
        <f>IF(AND(ABS(Aug!J25)&gt;קריטריונים!$B$2,Aug!B25&gt;קריטריונים!$B$3),Aug!J25,"")</f>
        <v>-3.8246477298143455E-2</v>
      </c>
      <c r="S24" s="113">
        <f>IF(AND(ABS(Aug!F25)&gt;קריטריונים!$B$1,Aug!B25&gt;קריטריונים!$B$3),Aug!F25,"")</f>
        <v>0.24426981008513415</v>
      </c>
      <c r="T24" s="113">
        <f>IF(AND(ABS(Aug!E25)&gt;קריטריונים!$B$1,Aug!B25&gt;קריטריונים!$B$3),Aug!E25,"")</f>
        <v>4.2238069116840249E-2</v>
      </c>
      <c r="U24" s="113" t="str">
        <f>IF(AND(ABS(Jul!K25)&gt;קריטריונים!$B$2,Jul!B25&gt;קריטריונים!$B$3),Jul!K25,"")</f>
        <v/>
      </c>
      <c r="V24" s="113" t="str">
        <f>IF(AND(ABS(Jul!J25)&gt;קריטריונים!$B$2,Jul!B25&gt;קריטריונים!$B$3),Jul!J25,"")</f>
        <v/>
      </c>
      <c r="W24" s="113" t="str">
        <f>IF(AND(ABS(Jul!F25)&gt;קריטריונים!$B$1,Jul!B25&gt;קריטריונים!$B$3),Jul!F25,"")</f>
        <v/>
      </c>
      <c r="X24" s="113" t="str">
        <f>IF(AND(ABS(Jul!E25)&gt;קריטריונים!$B$1,Jul!B25&gt;קריטריונים!$B$3),Jul!E25,"")</f>
        <v/>
      </c>
      <c r="Y24" s="113" t="str">
        <f>IF(AND(ABS(Jun!K25)&gt;קריטריונים!$B$2,Jun!B25&gt;קריטריונים!$B$3),Jun!K25,"")</f>
        <v/>
      </c>
      <c r="Z24" s="113" t="str">
        <f>IF(AND(ABS(Jun!J25)&gt;קריטריונים!$B$2,Jun!B25&gt;קריטריונים!$B$3),Jun!J25,"")</f>
        <v/>
      </c>
      <c r="AA24" s="113" t="str">
        <f>IF(AND(ABS(Jun!F25)&gt;קריטריונים!$B$1,Jun!B25&gt;קריטריונים!$B$3),Jun!F25,"")</f>
        <v/>
      </c>
      <c r="AB24" s="113" t="str">
        <f>IF(AND(ABS(Jun!E25)&gt;קריטריונים!$B$1,Jun!B25&gt;קריטריונים!$B$3),Jun!E25,"")</f>
        <v/>
      </c>
      <c r="AC24" s="113" t="str">
        <f>IF(AND(ABS(May!K25)&gt;קריטריונים!$B$2,May!B25&gt;קריטריונים!$B$3),May!K25,"")</f>
        <v/>
      </c>
      <c r="AD24" s="113" t="str">
        <f>IF(AND(ABS(May!J25)&gt;קריטריונים!$B$2,May!B25&gt;קריטריונים!$B$3),May!J25,"")</f>
        <v/>
      </c>
      <c r="AE24" s="113" t="str">
        <f>IF(AND(ABS(May!F25)&gt;קריטריונים!$B$1,May!B25&gt;קריטריונים!$B$3),May!F25,"")</f>
        <v/>
      </c>
      <c r="AF24" s="113" t="str">
        <f>IF(AND(ABS(May!E25)&gt;קריטריונים!$B$1,May!B25&gt;קריטריונים!$B$3),May!E25,"")</f>
        <v/>
      </c>
      <c r="AG24" s="113">
        <f>IF(AND(ABS(Apr!K25)&gt;קריטריונים!$B$2,Apr!B25&gt;קריטריונים!$B$3),Apr!K25,"")</f>
        <v>-7.5614366729678251E-3</v>
      </c>
      <c r="AH24" s="113">
        <f>IF(AND(ABS(Apr!J25)&gt;קריטריונים!$B$2,Apr!B25&gt;קריטריונים!$B$3),Apr!J25,"")</f>
        <v>5.0000000000000044E-2</v>
      </c>
      <c r="AI24" s="113">
        <f>IF(AND(ABS(Apr!F25)&gt;קריטריונים!$B$1,Apr!B25&gt;קריטריונים!$B$3),Apr!F25,"")</f>
        <v>6.3829787234042534E-2</v>
      </c>
      <c r="AJ24" s="113">
        <f>IF(AND(ABS(Apr!E25)&gt;קריטריונים!$B$1,Apr!B25&gt;קריטריונים!$B$3),Apr!E25,"")</f>
        <v>-6.2988027069234787E-2</v>
      </c>
      <c r="AK24" s="113" t="str">
        <f>IF(AND(ABS(Mar!K25)&gt;קריטריונים!$B$2,Mar!B25&gt;קריטריונים!$B$3),Mar!K25,"")</f>
        <v/>
      </c>
      <c r="AL24" s="113" t="str">
        <f>IF(AND(ABS(Mar!J25)&gt;קריטריונים!$B$2,Mar!B25&gt;קריטריונים!$B$3),Mar!J25,"")</f>
        <v/>
      </c>
      <c r="AM24" s="113" t="str">
        <f>IF(AND(ABS(Mar!F25)&gt;קריטריונים!$B$1,Mar!B25&gt;קריטריונים!$B$3),Mar!F25,"")</f>
        <v/>
      </c>
      <c r="AN24" s="113" t="str">
        <f>IF(AND(ABS(Mar!E25)&gt;קריטריונים!$B$1,Mar!B25&gt;קריטריונים!$B$3),Mar!E25,"")</f>
        <v/>
      </c>
      <c r="AO24" s="113" t="str">
        <f>IF(AND(ABS(Feb!K25)&gt;קריטריונים!$B$2,Feb!B25&gt;קריטריונים!$B$3),Feb!K25,"")</f>
        <v/>
      </c>
      <c r="AP24" s="113" t="str">
        <f>IF(AND(ABS(Feb!J25)&gt;קריטריונים!$B$2,Feb!B25&gt;קריטריונים!$B$3),Feb!J25,"")</f>
        <v/>
      </c>
      <c r="AQ24" s="113" t="str">
        <f>IF(AND(ABS(Feb!F25)&gt;קריטריונים!$B$1,Feb!B25&gt;קריטריונים!$B$3),Feb!F25,"")</f>
        <v/>
      </c>
      <c r="AR24" s="113" t="str">
        <f>IF(AND(ABS(Feb!E25)&gt;קריטריונים!$B$1,Feb!B25&gt;קריטריונים!$B$3),Feb!E25,"")</f>
        <v/>
      </c>
      <c r="AS24" s="113" t="str">
        <f>IF(AND(ABS(Jan!F25)&gt;קריטריונים!$B$1,Jan!B25&gt;קריטריונים!$B$3),Jan!F25,"")</f>
        <v/>
      </c>
      <c r="AT24" s="103" t="str">
        <f>IF(AND(ABS(Jan!E25)&gt;קריטריונים!$B$1,Jan!B25&gt;קריטריונים!$B$3),Jan!E25,"")</f>
        <v/>
      </c>
      <c r="AU24" s="118" t="s">
        <v>19</v>
      </c>
      <c r="AV24" s="4"/>
    </row>
    <row r="25" spans="1:48">
      <c r="A25" s="112" t="str">
        <f>IF(AND(ABS(Dec!K26)&gt;קריטריונים!$B$2,Dec!B26&gt;קריטריונים!$B$3),Dec!K26,"")</f>
        <v/>
      </c>
      <c r="B25" s="113" t="str">
        <f>IF(AND(ABS(Dec!J26)&gt;קריטריונים!$B$2,Dec!B26&gt;קריטריונים!$B$3),Dec!J26,"")</f>
        <v/>
      </c>
      <c r="C25" s="113" t="str">
        <f>IF(AND(ABS(Dec!F26)&gt;קריטריונים!$B$1,Dec!B26&gt;קריטריונים!$B$3),Dec!F26,"")</f>
        <v/>
      </c>
      <c r="D25" s="113" t="str">
        <f>IF(AND(ABS(Dec!E26)&gt;קריטריונים!$B$1,Dec!B26&gt;קריטריונים!$B$3),Dec!E26,"")</f>
        <v/>
      </c>
      <c r="E25" s="113" t="str">
        <f>IF(AND(ABS(Nov!K26)&gt;קריטריונים!$B$2,Nov!B26&gt;קריטריונים!$B$3),Nov!K26,"")</f>
        <v/>
      </c>
      <c r="F25" s="113" t="str">
        <f>IF(AND(ABS(Nov!J26)&gt;קריטריונים!$B$2,Nov!B26&gt;קריטריונים!$B$3),Nov!J26,"")</f>
        <v/>
      </c>
      <c r="G25" s="113" t="str">
        <f>IF(AND(ABS(Nov!F26)&gt;קריטריונים!$B$1,Nov!B26&gt;קריטריונים!$B$3),Nov!F26,"")</f>
        <v/>
      </c>
      <c r="H25" s="113" t="str">
        <f>IF(AND(ABS(Nov!E26)&gt;קריטריונים!$B$1,Nov!B26&gt;קריטריונים!$B$3),Nov!E26,"")</f>
        <v/>
      </c>
      <c r="I25" s="113" t="str">
        <f>IF(AND(ABS(Oct!K26)&gt;קריטריונים!$B$2,Oct!B26&gt;קריטריונים!$B$3),Oct!K26,"")</f>
        <v/>
      </c>
      <c r="J25" s="113" t="str">
        <f>IF(AND(ABS(Oct!J26)&gt;קריטריונים!$B$2,Oct!B26&gt;קריטריונים!$B$3),Oct!J26,"")</f>
        <v/>
      </c>
      <c r="K25" s="113" t="str">
        <f>IF(AND(ABS(Oct!F26)&gt;קריטריונים!$B$1,Oct!B26&gt;קריטריונים!$B$3),Oct!F26,"")</f>
        <v/>
      </c>
      <c r="L25" s="113" t="str">
        <f>IF(AND(ABS(Oct!E26)&gt;קריטריונים!$B$1,Oct!B26&gt;קריטריונים!$B$3),Oct!E26,"")</f>
        <v/>
      </c>
      <c r="M25" s="113" t="str">
        <f>IF(AND(ABS(Sep!K26)&gt;קריטריונים!$B$2,Sep!B26&gt;קריטריונים!$B$3),Sep!K26,"")</f>
        <v/>
      </c>
      <c r="N25" s="113" t="str">
        <f>IF(AND(ABS(Sep!J26)&gt;קריטריונים!$B$2,Sep!B26&gt;קריטריונים!$B$3),Sep!J26,"")</f>
        <v/>
      </c>
      <c r="O25" s="113" t="str">
        <f>IF(AND(ABS(Sep!F26)&gt;קריטריונים!$B$1,Sep!B26&gt;קריטריונים!$B$3),Sep!F26,"")</f>
        <v/>
      </c>
      <c r="P25" s="113" t="str">
        <f>IF(AND(ABS(Sep!E26)&gt;קריטריונים!$B$1,Sep!B26&gt;קריטריונים!$B$3),Sep!E26,"")</f>
        <v/>
      </c>
      <c r="Q25" s="113" t="str">
        <f>IF(AND(ABS(Aug!K26)&gt;קריטריונים!$B$2,Aug!B26&gt;קריטריונים!$B$3),Aug!K26,"")</f>
        <v/>
      </c>
      <c r="R25" s="113" t="str">
        <f>IF(AND(ABS(Aug!J26)&gt;קריטריונים!$B$2,Aug!B26&gt;קריטריונים!$B$3),Aug!J26,"")</f>
        <v/>
      </c>
      <c r="S25" s="113" t="str">
        <f>IF(AND(ABS(Aug!F26)&gt;קריטריונים!$B$1,Aug!B26&gt;קריטריונים!$B$3),Aug!F26,"")</f>
        <v/>
      </c>
      <c r="T25" s="113" t="str">
        <f>IF(AND(ABS(Aug!E26)&gt;קריטריונים!$B$1,Aug!B26&gt;קריטריונים!$B$3),Aug!E26,"")</f>
        <v/>
      </c>
      <c r="U25" s="113" t="str">
        <f>IF(AND(ABS(Jul!K26)&gt;קריטריונים!$B$2,Jul!B26&gt;קריטריונים!$B$3),Jul!K26,"")</f>
        <v/>
      </c>
      <c r="V25" s="113" t="str">
        <f>IF(AND(ABS(Jul!J26)&gt;קריטריונים!$B$2,Jul!B26&gt;קריטריונים!$B$3),Jul!J26,"")</f>
        <v/>
      </c>
      <c r="W25" s="113" t="str">
        <f>IF(AND(ABS(Jul!F26)&gt;קריטריונים!$B$1,Jul!B26&gt;קריטריונים!$B$3),Jul!F26,"")</f>
        <v/>
      </c>
      <c r="X25" s="113" t="str">
        <f>IF(AND(ABS(Jul!E26)&gt;קריטריונים!$B$1,Jul!B26&gt;קריטריונים!$B$3),Jul!E26,"")</f>
        <v/>
      </c>
      <c r="Y25" s="113" t="str">
        <f>IF(AND(ABS(Jun!K26)&gt;קריטריונים!$B$2,Jun!B26&gt;קריטריונים!$B$3),Jun!K26,"")</f>
        <v/>
      </c>
      <c r="Z25" s="113" t="str">
        <f>IF(AND(ABS(Jun!J26)&gt;קריטריונים!$B$2,Jun!B26&gt;קריטריונים!$B$3),Jun!J26,"")</f>
        <v/>
      </c>
      <c r="AA25" s="113" t="str">
        <f>IF(AND(ABS(Jun!F26)&gt;קריטריונים!$B$1,Jun!B26&gt;קריטריונים!$B$3),Jun!F26,"")</f>
        <v/>
      </c>
      <c r="AB25" s="113" t="str">
        <f>IF(AND(ABS(Jun!E26)&gt;קריטריונים!$B$1,Jun!B26&gt;קריטריונים!$B$3),Jun!E26,"")</f>
        <v/>
      </c>
      <c r="AC25" s="113" t="str">
        <f>IF(AND(ABS(May!K26)&gt;קריטריונים!$B$2,May!B26&gt;קריטריונים!$B$3),May!K26,"")</f>
        <v/>
      </c>
      <c r="AD25" s="113" t="str">
        <f>IF(AND(ABS(May!J26)&gt;קריטריונים!$B$2,May!B26&gt;קריטריונים!$B$3),May!J26,"")</f>
        <v/>
      </c>
      <c r="AE25" s="113" t="str">
        <f>IF(AND(ABS(May!F26)&gt;קריטריונים!$B$1,May!B26&gt;קריטריונים!$B$3),May!F26,"")</f>
        <v/>
      </c>
      <c r="AF25" s="113" t="str">
        <f>IF(AND(ABS(May!E26)&gt;קריטריונים!$B$1,May!B26&gt;קריטריונים!$B$3),May!E26,"")</f>
        <v/>
      </c>
      <c r="AG25" s="113" t="str">
        <f>IF(AND(ABS(Apr!K26)&gt;קריטריונים!$B$2,Apr!B26&gt;קריטריונים!$B$3),Apr!K26,"")</f>
        <v/>
      </c>
      <c r="AH25" s="113" t="str">
        <f>IF(AND(ABS(Apr!J26)&gt;קריטריונים!$B$2,Apr!B26&gt;קריטריונים!$B$3),Apr!J26,"")</f>
        <v/>
      </c>
      <c r="AI25" s="113" t="str">
        <f>IF(AND(ABS(Apr!F26)&gt;קריטריונים!$B$1,Apr!B26&gt;קריטריונים!$B$3),Apr!F26,"")</f>
        <v/>
      </c>
      <c r="AJ25" s="113" t="str">
        <f>IF(AND(ABS(Apr!E26)&gt;קריטריונים!$B$1,Apr!B26&gt;קריטריונים!$B$3),Apr!E26,"")</f>
        <v/>
      </c>
      <c r="AK25" s="113" t="str">
        <f>IF(AND(ABS(Mar!K26)&gt;קריטריונים!$B$2,Mar!B26&gt;קריטריונים!$B$3),Mar!K26,"")</f>
        <v/>
      </c>
      <c r="AL25" s="113" t="str">
        <f>IF(AND(ABS(Mar!J26)&gt;קריטריונים!$B$2,Mar!B26&gt;קריטריונים!$B$3),Mar!J26,"")</f>
        <v/>
      </c>
      <c r="AM25" s="113" t="str">
        <f>IF(AND(ABS(Mar!F26)&gt;קריטריונים!$B$1,Mar!B26&gt;קריטריונים!$B$3),Mar!F26,"")</f>
        <v/>
      </c>
      <c r="AN25" s="113" t="str">
        <f>IF(AND(ABS(Mar!E26)&gt;קריטריונים!$B$1,Mar!B26&gt;קריטריונים!$B$3),Mar!E26,"")</f>
        <v/>
      </c>
      <c r="AO25" s="113" t="str">
        <f>IF(AND(ABS(Feb!K26)&gt;קריטריונים!$B$2,Feb!B26&gt;קריטריונים!$B$3),Feb!K26,"")</f>
        <v/>
      </c>
      <c r="AP25" s="113" t="str">
        <f>IF(AND(ABS(Feb!J26)&gt;קריטריונים!$B$2,Feb!B26&gt;קריטריונים!$B$3),Feb!J26,"")</f>
        <v/>
      </c>
      <c r="AQ25" s="113" t="str">
        <f>IF(AND(ABS(Feb!F26)&gt;קריטריונים!$B$1,Feb!B26&gt;קריטריונים!$B$3),Feb!F26,"")</f>
        <v/>
      </c>
      <c r="AR25" s="113" t="str">
        <f>IF(AND(ABS(Feb!E26)&gt;קריטריונים!$B$1,Feb!B26&gt;קריטריונים!$B$3),Feb!E26,"")</f>
        <v/>
      </c>
      <c r="AS25" s="113" t="str">
        <f>IF(AND(ABS(Jan!F26)&gt;קריטריונים!$B$1,Jan!B26&gt;קריטריונים!$B$3),Jan!F26,"")</f>
        <v/>
      </c>
      <c r="AT25" s="103" t="str">
        <f>IF(AND(ABS(Jan!E26)&gt;קריטריונים!$B$1,Jan!B26&gt;קריטריונים!$B$3),Jan!E26,"")</f>
        <v/>
      </c>
      <c r="AU25" s="118"/>
      <c r="AV25" s="4"/>
    </row>
    <row r="26" spans="1:48">
      <c r="A26" s="112" t="str">
        <f>IF(AND(ABS(Dec!K27)&gt;קריטריונים!$B$2,Dec!B27&gt;קריטריונים!$B$3),Dec!K27,"")</f>
        <v/>
      </c>
      <c r="B26" s="113" t="str">
        <f>IF(AND(ABS(Dec!J27)&gt;קריטריונים!$B$2,Dec!B27&gt;קריטריונים!$B$3),Dec!J27,"")</f>
        <v/>
      </c>
      <c r="C26" s="113" t="str">
        <f>IF(AND(ABS(Dec!F27)&gt;קריטריונים!$B$1,Dec!B27&gt;קריטריונים!$B$3),Dec!F27,"")</f>
        <v/>
      </c>
      <c r="D26" s="113" t="str">
        <f>IF(AND(ABS(Dec!E27)&gt;קריטריונים!$B$1,Dec!B27&gt;קריטריונים!$B$3),Dec!E27,"")</f>
        <v/>
      </c>
      <c r="E26" s="113">
        <f>IF(AND(ABS(Nov!K27)&gt;קריטריונים!$B$2,Nov!B27&gt;קריטריונים!$B$3),Nov!K27,"")</f>
        <v>2.1042641620577784E-2</v>
      </c>
      <c r="F26" s="113">
        <f>IF(AND(ABS(Nov!J27)&gt;קריטריונים!$B$2,Nov!B27&gt;קריטריונים!$B$3),Nov!J27,"")</f>
        <v>0.1431083754671354</v>
      </c>
      <c r="G26" s="113">
        <f>IF(AND(ABS(Nov!F27)&gt;קריטריונים!$B$1,Nov!B27&gt;קריטריונים!$B$3),Nov!F27,"")</f>
        <v>-0.13606911447084236</v>
      </c>
      <c r="H26" s="113">
        <f>IF(AND(ABS(Nov!E27)&gt;קריטריונים!$B$1,Nov!B27&gt;קריטריונים!$B$3),Nov!E27,"")</f>
        <v>4.7806155861165767E-2</v>
      </c>
      <c r="I26" s="113">
        <f>IF(AND(ABS(Oct!K27)&gt;קריטריונים!$B$2,Oct!B27&gt;קריטריונים!$B$3),Oct!K27,"")</f>
        <v>4.2714035675715634E-2</v>
      </c>
      <c r="J26" s="113">
        <f>IF(AND(ABS(Oct!J27)&gt;קריטריונים!$B$2,Oct!B27&gt;קריטריונים!$B$3),Oct!J27,"")</f>
        <v>0.15511551155115488</v>
      </c>
      <c r="K26" s="113">
        <f>IF(AND(ABS(Oct!F27)&gt;קריטריונים!$B$1,Oct!B27&gt;קריטריונים!$B$3),Oct!F27,"")</f>
        <v>-0.13755298932904547</v>
      </c>
      <c r="L26" s="113">
        <f>IF(AND(ABS(Oct!E27)&gt;קריטריונים!$B$1,Oct!B27&gt;קריטריונים!$B$3),Oct!E27,"")</f>
        <v>0.50356778797145774</v>
      </c>
      <c r="M26" s="113">
        <f>IF(AND(ABS(Sep!K27)&gt;קריטריונים!$B$2,Sep!B27&gt;קריטריונים!$B$3),Sep!K27,"")</f>
        <v>6.9028059319321322E-2</v>
      </c>
      <c r="N26" s="113">
        <f>IF(AND(ABS(Sep!J27)&gt;קריטריונים!$B$2,Sep!B27&gt;קריטריונים!$B$3),Sep!J27,"")</f>
        <v>0.12442768650686742</v>
      </c>
      <c r="O26" s="113">
        <f>IF(AND(ABS(Sep!F27)&gt;קריטריונים!$B$1,Sep!B27&gt;קריטריונים!$B$3),Sep!F27,"")</f>
        <v>0.19160204274635917</v>
      </c>
      <c r="P26" s="113">
        <f>IF(AND(ABS(Sep!E27)&gt;קריטריונים!$B$1,Sep!B27&gt;קריטריונים!$B$3),Sep!E27,"")</f>
        <v>0.21715610510046379</v>
      </c>
      <c r="Q26" s="113">
        <f>IF(AND(ABS(Aug!K27)&gt;קריטריונים!$B$2,Aug!B27&gt;קריטריונים!$B$3),Aug!K27,"")</f>
        <v>5.3441723988647771E-2</v>
      </c>
      <c r="R26" s="113">
        <f>IF(AND(ABS(Aug!J27)&gt;קריטריונים!$B$2,Aug!B27&gt;קריטריונים!$B$3),Aug!J27,"")</f>
        <v>0.11223971559167079</v>
      </c>
      <c r="S26" s="113">
        <f>IF(AND(ABS(Aug!F27)&gt;קריטריונים!$B$1,Aug!B27&gt;קריטריונים!$B$3),Aug!F27,"")</f>
        <v>-0.17985885943162316</v>
      </c>
      <c r="T26" s="113">
        <f>IF(AND(ABS(Aug!E27)&gt;קריטריונים!$B$1,Aug!B27&gt;קריטריונים!$B$3),Aug!E27,"")</f>
        <v>0.13068630028924533</v>
      </c>
      <c r="U26" s="113">
        <f>IF(AND(ABS(Jul!K27)&gt;קריטריונים!$B$2,Jul!B27&gt;קריטריונים!$B$3),Jul!K27,"")</f>
        <v>-4.9978353937178421E-2</v>
      </c>
      <c r="V26" s="113">
        <f>IF(AND(ABS(Jul!J27)&gt;קריטריונים!$B$2,Jul!B27&gt;קריטריונים!$B$3),Jul!J27,"")</f>
        <v>0.11026786969109237</v>
      </c>
      <c r="W26" s="113">
        <f>IF(AND(ABS(Jul!F27)&gt;קריטריונים!$B$1,Jul!B27&gt;קריטריונים!$B$3),Jul!F27,"")</f>
        <v>0.14734299516908211</v>
      </c>
      <c r="X26" s="113">
        <f>IF(AND(ABS(Jul!E27)&gt;קריטריונים!$B$1,Jul!B27&gt;קריטריונים!$B$3),Jul!E27,"")</f>
        <v>0.38990490124359911</v>
      </c>
      <c r="Y26" s="113">
        <f>IF(AND(ABS(Jun!K27)&gt;קריטריונים!$B$2,Jun!B27&gt;קריטריונים!$B$3),Jun!K27,"")</f>
        <v>5.6448084015752853E-2</v>
      </c>
      <c r="Z26" s="113">
        <f>IF(AND(ABS(Jun!J27)&gt;קריטריונים!$B$2,Jun!B27&gt;קריטריונים!$B$3),Jun!J27,"")</f>
        <v>7.3834032278561335E-2</v>
      </c>
      <c r="AA26" s="113">
        <f>IF(AND(ABS(Jun!F27)&gt;קריטריונים!$B$1,Jun!B27&gt;קריטריונים!$B$3),Jun!F27,"")</f>
        <v>0.23042505592841178</v>
      </c>
      <c r="AB26" s="113">
        <f>IF(AND(ABS(Jun!E27)&gt;קריטריונים!$B$1,Jun!B27&gt;קריטריונים!$B$3),Jun!E27,"")</f>
        <v>0.17798243735275232</v>
      </c>
      <c r="AC26" s="113">
        <f>IF(AND(ABS(May!K27)&gt;קריטריונים!$B$2,May!B27&gt;קריטריונים!$B$3),May!K27,"")</f>
        <v>5.2161951146967978E-2</v>
      </c>
      <c r="AD26" s="113">
        <f>IF(AND(ABS(May!J27)&gt;קריטריונים!$B$2,May!B27&gt;קריטריונים!$B$3),May!J27,"")</f>
        <v>5.5694408176968579E-2</v>
      </c>
      <c r="AE26" s="113">
        <f>IF(AND(ABS(May!F27)&gt;קריטריונים!$B$1,May!B27&gt;קריטריונים!$B$3),May!F27,"")</f>
        <v>0.17017056723522428</v>
      </c>
      <c r="AF26" s="113">
        <f>IF(AND(ABS(May!E27)&gt;קריטריונים!$B$1,May!B27&gt;קריטריונים!$B$3),May!E27,"")</f>
        <v>0.34457611668185972</v>
      </c>
      <c r="AG26" s="113">
        <f>IF(AND(ABS(Apr!K27)&gt;קריטריונים!$B$2,Apr!B27&gt;קריטריונים!$B$3),Apr!K27,"")</f>
        <v>2.4937085335163589E-2</v>
      </c>
      <c r="AH26" s="113">
        <f>IF(AND(ABS(Apr!J27)&gt;קריטריונים!$B$2,Apr!B27&gt;קריטריונים!$B$3),Apr!J27,"")</f>
        <v>-8.4749542798523425E-4</v>
      </c>
      <c r="AI26" s="113">
        <f>IF(AND(ABS(Apr!F27)&gt;קריטריונים!$B$1,Apr!B27&gt;קריטריונים!$B$3),Apr!F27,"")</f>
        <v>7.7262693156732842E-2</v>
      </c>
      <c r="AJ26" s="113">
        <f>IF(AND(ABS(Apr!E27)&gt;קריטריונים!$B$1,Apr!B27&gt;קריטריונים!$B$3),Apr!E27,"")</f>
        <v>1.9044437019712701E-2</v>
      </c>
      <c r="AK26" s="113">
        <f>IF(AND(ABS(Mar!K27)&gt;קריטריונים!$B$2,Mar!B27&gt;קריטריונים!$B$3),Mar!K27,"")</f>
        <v>-3.1339031339031376E-2</v>
      </c>
      <c r="AL26" s="113">
        <f>IF(AND(ABS(Mar!J27)&gt;קריטריונים!$B$2,Mar!B27&gt;קריטריונים!$B$3),Mar!J27,"")</f>
        <v>-2.3643151143869168E-2</v>
      </c>
      <c r="AM26" s="113">
        <f>IF(AND(ABS(Mar!F27)&gt;קריטריונים!$B$1,Mar!B27&gt;קריטריונים!$B$3),Mar!F27,"")</f>
        <v>-0.22805839906024505</v>
      </c>
      <c r="AN26" s="113">
        <f>IF(AND(ABS(Mar!E27)&gt;קריטריונים!$B$1,Mar!B27&gt;קריטריונים!$B$3),Mar!E27,"")</f>
        <v>-0.1384154336017982</v>
      </c>
      <c r="AO26" s="113">
        <f>IF(AND(ABS(Feb!K27)&gt;קריטריונים!$B$2,Feb!B27&gt;קריטריונים!$B$3),Feb!K27,"")</f>
        <v>0.22511485451761093</v>
      </c>
      <c r="AP26" s="113">
        <f>IF(AND(ABS(Feb!J27)&gt;קריטריונים!$B$2,Feb!B27&gt;קריטריונים!$B$3),Feb!J27,"")</f>
        <v>9.6319498825371719E-2</v>
      </c>
      <c r="AQ26" s="113">
        <f>IF(AND(ABS(Feb!F27)&gt;קריטריונים!$B$1,Feb!B27&gt;קריטריונים!$B$3),Feb!F27,"")</f>
        <v>0.23739688359303401</v>
      </c>
      <c r="AR26" s="113">
        <f>IF(AND(ABS(Feb!E27)&gt;קריטריונים!$B$1,Feb!B27&gt;קריטריונים!$B$3),Feb!E27,"")</f>
        <v>7.1003570011900052E-2</v>
      </c>
      <c r="AS26" s="113">
        <f>IF(AND(ABS(Jan!F27)&gt;קריטריונים!$B$1,Jan!B27&gt;קריטריונים!$B$3),Jan!F27,"")</f>
        <v>0.21389702804520727</v>
      </c>
      <c r="AT26" s="103">
        <f>IF(AND(ABS(Jan!E27)&gt;קריטריונים!$B$1,Jan!B27&gt;קריטריונים!$B$3),Jan!E27,"")</f>
        <v>0.12098956320061838</v>
      </c>
      <c r="AU26" s="118" t="s">
        <v>20</v>
      </c>
      <c r="AV26" s="4"/>
    </row>
    <row r="27" spans="1:48">
      <c r="A27" s="112" t="str">
        <f>IF(AND(ABS(Dec!K28)&gt;קריטריונים!$B$2,Dec!B28&gt;קריטריונים!$B$3),Dec!K28,"")</f>
        <v/>
      </c>
      <c r="B27" s="113" t="str">
        <f>IF(AND(ABS(Dec!J28)&gt;קריטריונים!$B$2,Dec!B28&gt;קריטריונים!$B$3),Dec!J28,"")</f>
        <v/>
      </c>
      <c r="C27" s="113" t="str">
        <f>IF(AND(ABS(Dec!F28)&gt;קריטריונים!$B$1,Dec!B28&gt;קריטריונים!$B$3),Dec!F28,"")</f>
        <v/>
      </c>
      <c r="D27" s="113" t="str">
        <f>IF(AND(ABS(Dec!E28)&gt;קריטריונים!$B$1,Dec!B28&gt;קריטריונים!$B$3),Dec!E28,"")</f>
        <v/>
      </c>
      <c r="E27" s="113" t="str">
        <f>IF(AND(ABS(Nov!K28)&gt;קריטריונים!$B$2,Nov!B28&gt;קריטריונים!$B$3),Nov!K28,"")</f>
        <v/>
      </c>
      <c r="F27" s="113" t="str">
        <f>IF(AND(ABS(Nov!J28)&gt;קריטריונים!$B$2,Nov!B28&gt;קריטריונים!$B$3),Nov!J28,"")</f>
        <v/>
      </c>
      <c r="G27" s="113" t="str">
        <f>IF(AND(ABS(Nov!F28)&gt;קריטריונים!$B$1,Nov!B28&gt;קריטריונים!$B$3),Nov!F28,"")</f>
        <v/>
      </c>
      <c r="H27" s="113" t="str">
        <f>IF(AND(ABS(Nov!E28)&gt;קריטריונים!$B$1,Nov!B28&gt;קריטריונים!$B$3),Nov!E28,"")</f>
        <v/>
      </c>
      <c r="I27" s="113">
        <f>IF(AND(ABS(Oct!K28)&gt;קריטריונים!$B$2,Oct!B28&gt;קריטריונים!$B$3),Oct!K28,"")</f>
        <v>0.28716461203770871</v>
      </c>
      <c r="J27" s="113">
        <f>IF(AND(ABS(Oct!J28)&gt;קריטריונים!$B$2,Oct!B28&gt;קריטריונים!$B$3),Oct!J28,"")</f>
        <v>0.31359851988899146</v>
      </c>
      <c r="K27" s="113">
        <f>IF(AND(ABS(Oct!F28)&gt;קריטריונים!$B$1,Oct!B28&gt;קריטריונים!$B$3),Oct!F28,"")</f>
        <v>0.6084303937881308</v>
      </c>
      <c r="L27" s="113">
        <f>IF(AND(ABS(Oct!E28)&gt;קריטריונים!$B$1,Oct!B28&gt;קריטריונים!$B$3),Oct!E28,"")</f>
        <v>0.74278846153846168</v>
      </c>
      <c r="M27" s="113">
        <f>IF(AND(ABS(Sep!K28)&gt;קריטריונים!$B$2,Sep!B28&gt;קריטריונים!$B$3),Sep!K28,"")</f>
        <v>0.24788063750423883</v>
      </c>
      <c r="N27" s="113">
        <f>IF(AND(ABS(Sep!J28)&gt;קריטריונים!$B$2,Sep!B28&gt;קריטריונים!$B$3),Sep!J28,"")</f>
        <v>0.26451790254965291</v>
      </c>
      <c r="O27" s="113">
        <f>IF(AND(ABS(Sep!F28)&gt;קריטריונים!$B$1,Sep!B28&gt;קריטריונים!$B$3),Sep!F28,"")</f>
        <v>0.24610591900311518</v>
      </c>
      <c r="P27" s="113">
        <f>IF(AND(ABS(Sep!E28)&gt;קריטריונים!$B$1,Sep!B28&gt;קריטריונים!$B$3),Sep!E28,"")</f>
        <v>8.7801087801087752E-2</v>
      </c>
      <c r="Q27" s="113" t="str">
        <f>IF(AND(ABS(Aug!K28)&gt;קריטריונים!$B$2,Aug!B28&gt;קריטריונים!$B$3),Aug!K28,"")</f>
        <v/>
      </c>
      <c r="R27" s="113" t="str">
        <f>IF(AND(ABS(Aug!J28)&gt;קריטריונים!$B$2,Aug!B28&gt;קריטריונים!$B$3),Aug!J28,"")</f>
        <v/>
      </c>
      <c r="S27" s="113" t="str">
        <f>IF(AND(ABS(Aug!F28)&gt;קריטריונים!$B$1,Aug!B28&gt;קריטריונים!$B$3),Aug!F28,"")</f>
        <v/>
      </c>
      <c r="T27" s="113" t="str">
        <f>IF(AND(ABS(Aug!E28)&gt;קריטריונים!$B$1,Aug!B28&gt;קריטריונים!$B$3),Aug!E28,"")</f>
        <v/>
      </c>
      <c r="U27" s="113">
        <f>IF(AND(ABS(Jul!K28)&gt;קריטריונים!$B$2,Jul!B28&gt;קריטריונים!$B$3),Jul!K28,"")</f>
        <v>0.1441830692910866</v>
      </c>
      <c r="V27" s="113">
        <f>IF(AND(ABS(Jul!J28)&gt;קריטריונים!$B$2,Jul!B28&gt;קריטריונים!$B$3),Jul!J28,"")</f>
        <v>0.28504672897196248</v>
      </c>
      <c r="W27" s="113">
        <f>IF(AND(ABS(Jul!F28)&gt;קריטריונים!$B$1,Jul!B28&gt;קריטריונים!$B$3),Jul!F28,"")</f>
        <v>0.29558541266794625</v>
      </c>
      <c r="X27" s="113">
        <f>IF(AND(ABS(Jul!E28)&gt;קריטריונים!$B$1,Jul!B28&gt;קריטריונים!$B$3),Jul!E28,"")</f>
        <v>0.55261644623346751</v>
      </c>
      <c r="Y27" s="113">
        <f>IF(AND(ABS(Jun!K28)&gt;קריטריונים!$B$2,Jun!B28&gt;קריטריונים!$B$3),Jun!K28,"")</f>
        <v>0.26389191544998924</v>
      </c>
      <c r="Z27" s="113">
        <f>IF(AND(ABS(Jun!J28)&gt;קריטריונים!$B$2,Jun!B28&gt;קריטריונים!$B$3),Jun!J28,"")</f>
        <v>0.23548833741612518</v>
      </c>
      <c r="AA27" s="113">
        <f>IF(AND(ABS(Jun!F28)&gt;קריטריונים!$B$1,Jun!B28&gt;קריטריונים!$B$3),Jun!F28,"")</f>
        <v>0.28146453089244838</v>
      </c>
      <c r="AB27" s="113">
        <f>IF(AND(ABS(Jun!E28)&gt;קריטריונים!$B$1,Jun!B28&gt;קריטריונים!$B$3),Jun!E28,"")</f>
        <v>9.9332548095798945E-2</v>
      </c>
      <c r="AC27" s="113">
        <f>IF(AND(ABS(May!K28)&gt;קריטריונים!$B$2,May!B28&gt;קריטריונים!$B$3),May!K28,"")</f>
        <v>0.27702800754607471</v>
      </c>
      <c r="AD27" s="113">
        <f>IF(AND(ABS(May!J28)&gt;קריטריונים!$B$2,May!B28&gt;קריטריונים!$B$3),May!J28,"")</f>
        <v>0.2861736334405145</v>
      </c>
      <c r="AE27" s="113">
        <f>IF(AND(ABS(May!F28)&gt;קריטריונים!$B$1,May!B28&gt;קריטריונים!$B$3),May!F28,"")</f>
        <v>0.56657963446475179</v>
      </c>
      <c r="AF27" s="113">
        <f>IF(AND(ABS(May!E28)&gt;קריטריונים!$B$1,May!B28&gt;קריטריונים!$B$3),May!E28,"")</f>
        <v>0.2611665790856541</v>
      </c>
      <c r="AG27" s="113">
        <f>IF(AND(ABS(Apr!K28)&gt;קריטריונים!$B$2,Apr!B28&gt;קריטריונים!$B$3),Apr!K28,"")</f>
        <v>0.19425265907818634</v>
      </c>
      <c r="AH27" s="113">
        <f>IF(AND(ABS(Apr!J28)&gt;קריטריונים!$B$2,Apr!B28&gt;קריטריונים!$B$3),Apr!J28,"")</f>
        <v>0.29580886819194174</v>
      </c>
      <c r="AI27" s="113">
        <f>IF(AND(ABS(Apr!F28)&gt;קריטריונים!$B$1,Apr!B28&gt;קריטריונים!$B$3),Apr!F28,"")</f>
        <v>0.28008192524321562</v>
      </c>
      <c r="AJ27" s="113">
        <f>IF(AND(ABS(Apr!E28)&gt;קריטריונים!$B$1,Apr!B28&gt;קריטריונים!$B$3),Apr!E28,"")</f>
        <v>0.78316690442225401</v>
      </c>
      <c r="AK27" s="113">
        <f>IF(AND(ABS(Mar!K28)&gt;קריטריונים!$B$2,Mar!B28&gt;קריטריונים!$B$3),Mar!K28,"")</f>
        <v>0.14503816793893143</v>
      </c>
      <c r="AL27" s="113">
        <f>IF(AND(ABS(Mar!J28)&gt;קריטריונים!$B$2,Mar!B28&gt;קריטריונים!$B$3),Mar!J28,"")</f>
        <v>0.10262934690415615</v>
      </c>
      <c r="AM27" s="113">
        <f>IF(AND(ABS(Mar!F28)&gt;קריטריונים!$B$1,Mar!B28&gt;קריטריונים!$B$3),Mar!F28,"")</f>
        <v>0.14182692307692313</v>
      </c>
      <c r="AN27" s="113">
        <f>IF(AND(ABS(Mar!E28)&gt;קריטריונים!$B$1,Mar!B28&gt;קריטריונים!$B$3),Mar!E28,"")</f>
        <v>0.1750154607297465</v>
      </c>
      <c r="AO27" s="113" t="str">
        <f>IF(AND(ABS(Feb!K28)&gt;קריטריונים!$B$2,Feb!B28&gt;קריטריונים!$B$3),Feb!K28,"")</f>
        <v/>
      </c>
      <c r="AP27" s="113" t="str">
        <f>IF(AND(ABS(Feb!J28)&gt;קריטריונים!$B$2,Feb!B28&gt;קריטריונים!$B$3),Feb!J28,"")</f>
        <v/>
      </c>
      <c r="AQ27" s="113" t="str">
        <f>IF(AND(ABS(Feb!F28)&gt;קריטריונים!$B$1,Feb!B28&gt;קריטריונים!$B$3),Feb!F28,"")</f>
        <v/>
      </c>
      <c r="AR27" s="113" t="str">
        <f>IF(AND(ABS(Feb!E28)&gt;קריטריונים!$B$1,Feb!B28&gt;קריטריונים!$B$3),Feb!E28,"")</f>
        <v/>
      </c>
      <c r="AS27" s="113" t="str">
        <f>IF(AND(ABS(Jan!F28)&gt;קריטריונים!$B$1,Jan!B28&gt;קריטריונים!$B$3),Jan!F28,"")</f>
        <v/>
      </c>
      <c r="AT27" s="103" t="str">
        <f>IF(AND(ABS(Jan!E28)&gt;קריטריונים!$B$1,Jan!B28&gt;קריטריונים!$B$3),Jan!E28,"")</f>
        <v/>
      </c>
      <c r="AU27" s="118" t="s">
        <v>21</v>
      </c>
      <c r="AV27" s="4"/>
    </row>
    <row r="28" spans="1:48">
      <c r="A28" s="112" t="str">
        <f>IF(AND(ABS(Dec!K29)&gt;קריטריונים!$B$2,Dec!B29&gt;קריטריונים!$B$3),Dec!K29,"")</f>
        <v/>
      </c>
      <c r="B28" s="113" t="str">
        <f>IF(AND(ABS(Dec!J29)&gt;קריטריונים!$B$2,Dec!B29&gt;קריטריונים!$B$3),Dec!J29,"")</f>
        <v/>
      </c>
      <c r="C28" s="113" t="str">
        <f>IF(AND(ABS(Dec!F29)&gt;קריטריונים!$B$1,Dec!B29&gt;קריטריונים!$B$3),Dec!F29,"")</f>
        <v/>
      </c>
      <c r="D28" s="113" t="str">
        <f>IF(AND(ABS(Dec!E29)&gt;קריטריונים!$B$1,Dec!B29&gt;קריטריונים!$B$3),Dec!E29,"")</f>
        <v/>
      </c>
      <c r="E28" s="113" t="str">
        <f>IF(AND(ABS(Nov!K29)&gt;קריטריונים!$B$2,Nov!B29&gt;קריטריונים!$B$3),Nov!K29,"")</f>
        <v/>
      </c>
      <c r="F28" s="113" t="str">
        <f>IF(AND(ABS(Nov!J29)&gt;קריטריונים!$B$2,Nov!B29&gt;קריטריונים!$B$3),Nov!J29,"")</f>
        <v/>
      </c>
      <c r="G28" s="113" t="str">
        <f>IF(AND(ABS(Nov!F29)&gt;קריטריונים!$B$1,Nov!B29&gt;קריטריונים!$B$3),Nov!F29,"")</f>
        <v/>
      </c>
      <c r="H28" s="113" t="str">
        <f>IF(AND(ABS(Nov!E29)&gt;קריטריונים!$B$1,Nov!B29&gt;קריטריונים!$B$3),Nov!E29,"")</f>
        <v/>
      </c>
      <c r="I28" s="113" t="str">
        <f>IF(AND(ABS(Oct!K29)&gt;קריטריונים!$B$2,Oct!B29&gt;קריטריונים!$B$3),Oct!K29,"")</f>
        <v/>
      </c>
      <c r="J28" s="113" t="str">
        <f>IF(AND(ABS(Oct!J29)&gt;קריטריונים!$B$2,Oct!B29&gt;קריטריונים!$B$3),Oct!J29,"")</f>
        <v/>
      </c>
      <c r="K28" s="113" t="str">
        <f>IF(AND(ABS(Oct!F29)&gt;קריטריונים!$B$1,Oct!B29&gt;קריטריונים!$B$3),Oct!F29,"")</f>
        <v/>
      </c>
      <c r="L28" s="113" t="str">
        <f>IF(AND(ABS(Oct!E29)&gt;קריטריונים!$B$1,Oct!B29&gt;קריטריונים!$B$3),Oct!E29,"")</f>
        <v/>
      </c>
      <c r="M28" s="113" t="str">
        <f>IF(AND(ABS(Sep!K29)&gt;קריטריונים!$B$2,Sep!B29&gt;קריטריונים!$B$3),Sep!K29,"")</f>
        <v/>
      </c>
      <c r="N28" s="113" t="str">
        <f>IF(AND(ABS(Sep!J29)&gt;קריטריונים!$B$2,Sep!B29&gt;קריטריונים!$B$3),Sep!J29,"")</f>
        <v/>
      </c>
      <c r="O28" s="113" t="str">
        <f>IF(AND(ABS(Sep!F29)&gt;קריטריונים!$B$1,Sep!B29&gt;קריטריונים!$B$3),Sep!F29,"")</f>
        <v/>
      </c>
      <c r="P28" s="113" t="str">
        <f>IF(AND(ABS(Sep!E29)&gt;קריטריונים!$B$1,Sep!B29&gt;קריטריונים!$B$3),Sep!E29,"")</f>
        <v/>
      </c>
      <c r="Q28" s="113" t="str">
        <f>IF(AND(ABS(Aug!K29)&gt;קריטריונים!$B$2,Aug!B29&gt;קריטריונים!$B$3),Aug!K29,"")</f>
        <v/>
      </c>
      <c r="R28" s="113" t="str">
        <f>IF(AND(ABS(Aug!J29)&gt;קריטריונים!$B$2,Aug!B29&gt;קריטריונים!$B$3),Aug!J29,"")</f>
        <v/>
      </c>
      <c r="S28" s="113" t="str">
        <f>IF(AND(ABS(Aug!F29)&gt;קריטריונים!$B$1,Aug!B29&gt;קריטריונים!$B$3),Aug!F29,"")</f>
        <v/>
      </c>
      <c r="T28" s="113" t="str">
        <f>IF(AND(ABS(Aug!E29)&gt;קריטריונים!$B$1,Aug!B29&gt;קריטריונים!$B$3),Aug!E29,"")</f>
        <v/>
      </c>
      <c r="U28" s="113" t="str">
        <f>IF(AND(ABS(Jul!K29)&gt;קריטריונים!$B$2,Jul!B29&gt;קריטריונים!$B$3),Jul!K29,"")</f>
        <v/>
      </c>
      <c r="V28" s="113" t="str">
        <f>IF(AND(ABS(Jul!J29)&gt;קריטריונים!$B$2,Jul!B29&gt;קריטריונים!$B$3),Jul!J29,"")</f>
        <v/>
      </c>
      <c r="W28" s="113" t="str">
        <f>IF(AND(ABS(Jul!F29)&gt;קריטריונים!$B$1,Jul!B29&gt;קריטריונים!$B$3),Jul!F29,"")</f>
        <v/>
      </c>
      <c r="X28" s="113" t="str">
        <f>IF(AND(ABS(Jul!E29)&gt;קריטריונים!$B$1,Jul!B29&gt;קריטריונים!$B$3),Jul!E29,"")</f>
        <v/>
      </c>
      <c r="Y28" s="113" t="str">
        <f>IF(AND(ABS(Jun!K29)&gt;קריטריונים!$B$2,Jun!B29&gt;קריטריונים!$B$3),Jun!K29,"")</f>
        <v/>
      </c>
      <c r="Z28" s="113" t="str">
        <f>IF(AND(ABS(Jun!J29)&gt;קריטריונים!$B$2,Jun!B29&gt;קריטריונים!$B$3),Jun!J29,"")</f>
        <v/>
      </c>
      <c r="AA28" s="113" t="str">
        <f>IF(AND(ABS(Jun!F29)&gt;קריטריונים!$B$1,Jun!B29&gt;קריטריונים!$B$3),Jun!F29,"")</f>
        <v/>
      </c>
      <c r="AB28" s="113" t="str">
        <f>IF(AND(ABS(Jun!E29)&gt;קריטריונים!$B$1,Jun!B29&gt;קריטריונים!$B$3),Jun!E29,"")</f>
        <v/>
      </c>
      <c r="AC28" s="113" t="str">
        <f>IF(AND(ABS(May!K29)&gt;קריטריונים!$B$2,May!B29&gt;קריטריונים!$B$3),May!K29,"")</f>
        <v/>
      </c>
      <c r="AD28" s="113" t="str">
        <f>IF(AND(ABS(May!J29)&gt;קריטריונים!$B$2,May!B29&gt;קריטריונים!$B$3),May!J29,"")</f>
        <v/>
      </c>
      <c r="AE28" s="113" t="str">
        <f>IF(AND(ABS(May!F29)&gt;קריטריונים!$B$1,May!B29&gt;קריטריונים!$B$3),May!F29,"")</f>
        <v/>
      </c>
      <c r="AF28" s="113" t="str">
        <f>IF(AND(ABS(May!E29)&gt;קריטריונים!$B$1,May!B29&gt;קריטריונים!$B$3),May!E29,"")</f>
        <v/>
      </c>
      <c r="AG28" s="113">
        <f>IF(AND(ABS(Apr!K29)&gt;קריטריונים!$B$2,Apr!B29&gt;קריטריונים!$B$3),Apr!K29,"")</f>
        <v>0.10375275938189832</v>
      </c>
      <c r="AH28" s="113">
        <f>IF(AND(ABS(Apr!J29)&gt;קריטריונים!$B$2,Apr!B29&gt;קריטריונים!$B$3),Apr!J29,"")</f>
        <v>-0.24914675767918093</v>
      </c>
      <c r="AI28" s="113">
        <f>IF(AND(ABS(Apr!F29)&gt;קריטריונים!$B$1,Apr!B29&gt;קריטריונים!$B$3),Apr!F29,"")</f>
        <v>0.10317975340687857</v>
      </c>
      <c r="AJ28" s="113">
        <f>IF(AND(ABS(Apr!E29)&gt;קריטריונים!$B$1,Apr!B29&gt;קריטריונים!$B$3),Apr!E29,"")</f>
        <v>-0.24500370096225021</v>
      </c>
      <c r="AK28" s="113" t="str">
        <f>IF(AND(ABS(Mar!K29)&gt;קריטריונים!$B$2,Mar!B29&gt;קריטריונים!$B$3),Mar!K29,"")</f>
        <v/>
      </c>
      <c r="AL28" s="113" t="str">
        <f>IF(AND(ABS(Mar!J29)&gt;קריטריונים!$B$2,Mar!B29&gt;קריטריונים!$B$3),Mar!J29,"")</f>
        <v/>
      </c>
      <c r="AM28" s="113" t="str">
        <f>IF(AND(ABS(Mar!F29)&gt;קריטריונים!$B$1,Mar!B29&gt;קריטריונים!$B$3),Mar!F29,"")</f>
        <v/>
      </c>
      <c r="AN28" s="113" t="str">
        <f>IF(AND(ABS(Mar!E29)&gt;קריטריונים!$B$1,Mar!B29&gt;קריטריונים!$B$3),Mar!E29,"")</f>
        <v/>
      </c>
      <c r="AO28" s="113" t="str">
        <f>IF(AND(ABS(Feb!K29)&gt;קריטריונים!$B$2,Feb!B29&gt;קריטריונים!$B$3),Feb!K29,"")</f>
        <v/>
      </c>
      <c r="AP28" s="113" t="str">
        <f>IF(AND(ABS(Feb!J29)&gt;קריטריונים!$B$2,Feb!B29&gt;קריטריונים!$B$3),Feb!J29,"")</f>
        <v/>
      </c>
      <c r="AQ28" s="113" t="str">
        <f>IF(AND(ABS(Feb!F29)&gt;קריטריונים!$B$1,Feb!B29&gt;קריטריונים!$B$3),Feb!F29,"")</f>
        <v/>
      </c>
      <c r="AR28" s="113" t="str">
        <f>IF(AND(ABS(Feb!E29)&gt;קריטריונים!$B$1,Feb!B29&gt;קריטריונים!$B$3),Feb!E29,"")</f>
        <v/>
      </c>
      <c r="AS28" s="113" t="str">
        <f>IF(AND(ABS(Jan!F29)&gt;קריטריונים!$B$1,Jan!B29&gt;קריטריונים!$B$3),Jan!F29,"")</f>
        <v/>
      </c>
      <c r="AT28" s="103" t="str">
        <f>IF(AND(ABS(Jan!E29)&gt;קריטריונים!$B$1,Jan!B29&gt;קריטריונים!$B$3),Jan!E29,"")</f>
        <v/>
      </c>
      <c r="AU28" s="118" t="s">
        <v>22</v>
      </c>
      <c r="AV28" s="4"/>
    </row>
    <row r="29" spans="1:48">
      <c r="A29" s="112" t="str">
        <f>IF(AND(ABS(Dec!K30)&gt;קריטריונים!$B$2,Dec!B30&gt;קריטריונים!$B$3),Dec!K30,"")</f>
        <v/>
      </c>
      <c r="B29" s="113" t="str">
        <f>IF(AND(ABS(Dec!J30)&gt;קריטריונים!$B$2,Dec!B30&gt;קריטריונים!$B$3),Dec!J30,"")</f>
        <v/>
      </c>
      <c r="C29" s="113" t="str">
        <f>IF(AND(ABS(Dec!F30)&gt;קריטריונים!$B$1,Dec!B30&gt;קריטריונים!$B$3),Dec!F30,"")</f>
        <v/>
      </c>
      <c r="D29" s="113" t="str">
        <f>IF(AND(ABS(Dec!E30)&gt;קריטריונים!$B$1,Dec!B30&gt;קריטריונים!$B$3),Dec!E30,"")</f>
        <v/>
      </c>
      <c r="E29" s="113" t="str">
        <f>IF(AND(ABS(Nov!K30)&gt;קריטריונים!$B$2,Nov!B30&gt;קריטריונים!$B$3),Nov!K30,"")</f>
        <v/>
      </c>
      <c r="F29" s="113" t="str">
        <f>IF(AND(ABS(Nov!J30)&gt;קריטריונים!$B$2,Nov!B30&gt;קריטריונים!$B$3),Nov!J30,"")</f>
        <v/>
      </c>
      <c r="G29" s="113" t="str">
        <f>IF(AND(ABS(Nov!F30)&gt;קריטריונים!$B$1,Nov!B30&gt;קריטריונים!$B$3),Nov!F30,"")</f>
        <v/>
      </c>
      <c r="H29" s="113" t="str">
        <f>IF(AND(ABS(Nov!E30)&gt;קריטריונים!$B$1,Nov!B30&gt;קריטריונים!$B$3),Nov!E30,"")</f>
        <v/>
      </c>
      <c r="I29" s="113" t="str">
        <f>IF(AND(ABS(Oct!K30)&gt;קריטריונים!$B$2,Oct!B30&gt;קריטריונים!$B$3),Oct!K30,"")</f>
        <v/>
      </c>
      <c r="J29" s="113" t="str">
        <f>IF(AND(ABS(Oct!J30)&gt;קריטריונים!$B$2,Oct!B30&gt;קריטריונים!$B$3),Oct!J30,"")</f>
        <v/>
      </c>
      <c r="K29" s="113" t="str">
        <f>IF(AND(ABS(Oct!F30)&gt;קריטריונים!$B$1,Oct!B30&gt;קריטריונים!$B$3),Oct!F30,"")</f>
        <v/>
      </c>
      <c r="L29" s="113" t="str">
        <f>IF(AND(ABS(Oct!E30)&gt;קריטריונים!$B$1,Oct!B30&gt;קריטריונים!$B$3),Oct!E30,"")</f>
        <v/>
      </c>
      <c r="M29" s="113" t="str">
        <f>IF(AND(ABS(Sep!K30)&gt;קריטריונים!$B$2,Sep!B30&gt;קריטריונים!$B$3),Sep!K30,"")</f>
        <v/>
      </c>
      <c r="N29" s="113" t="str">
        <f>IF(AND(ABS(Sep!J30)&gt;קריטריונים!$B$2,Sep!B30&gt;קריטריונים!$B$3),Sep!J30,"")</f>
        <v/>
      </c>
      <c r="O29" s="113" t="str">
        <f>IF(AND(ABS(Sep!F30)&gt;קריטריונים!$B$1,Sep!B30&gt;קריטריונים!$B$3),Sep!F30,"")</f>
        <v/>
      </c>
      <c r="P29" s="113" t="str">
        <f>IF(AND(ABS(Sep!E30)&gt;קריטריונים!$B$1,Sep!B30&gt;קריטריונים!$B$3),Sep!E30,"")</f>
        <v/>
      </c>
      <c r="Q29" s="113" t="str">
        <f>IF(AND(ABS(Aug!K30)&gt;קריטריונים!$B$2,Aug!B30&gt;קריטריונים!$B$3),Aug!K30,"")</f>
        <v/>
      </c>
      <c r="R29" s="113" t="str">
        <f>IF(AND(ABS(Aug!J30)&gt;קריטריונים!$B$2,Aug!B30&gt;קריטריונים!$B$3),Aug!J30,"")</f>
        <v/>
      </c>
      <c r="S29" s="113" t="str">
        <f>IF(AND(ABS(Aug!F30)&gt;קריטריונים!$B$1,Aug!B30&gt;קריטריונים!$B$3),Aug!F30,"")</f>
        <v/>
      </c>
      <c r="T29" s="113" t="str">
        <f>IF(AND(ABS(Aug!E30)&gt;קריטריונים!$B$1,Aug!B30&gt;קריטריונים!$B$3),Aug!E30,"")</f>
        <v/>
      </c>
      <c r="U29" s="113" t="str">
        <f>IF(AND(ABS(Jul!K30)&gt;קריטריונים!$B$2,Jul!B30&gt;קריטריונים!$B$3),Jul!K30,"")</f>
        <v/>
      </c>
      <c r="V29" s="113" t="str">
        <f>IF(AND(ABS(Jul!J30)&gt;קריטריונים!$B$2,Jul!B30&gt;קריטריונים!$B$3),Jul!J30,"")</f>
        <v/>
      </c>
      <c r="W29" s="113" t="str">
        <f>IF(AND(ABS(Jul!F30)&gt;קריטריונים!$B$1,Jul!B30&gt;קריטריונים!$B$3),Jul!F30,"")</f>
        <v/>
      </c>
      <c r="X29" s="113" t="str">
        <f>IF(AND(ABS(Jul!E30)&gt;קריטריונים!$B$1,Jul!B30&gt;קריטריונים!$B$3),Jul!E30,"")</f>
        <v/>
      </c>
      <c r="Y29" s="113" t="str">
        <f>IF(AND(ABS(Jun!K30)&gt;קריטריונים!$B$2,Jun!B30&gt;קריטריונים!$B$3),Jun!K30,"")</f>
        <v/>
      </c>
      <c r="Z29" s="113" t="str">
        <f>IF(AND(ABS(Jun!J30)&gt;קריטריונים!$B$2,Jun!B30&gt;קריטריונים!$B$3),Jun!J30,"")</f>
        <v/>
      </c>
      <c r="AA29" s="113" t="str">
        <f>IF(AND(ABS(Jun!F30)&gt;קריטריונים!$B$1,Jun!B30&gt;קריטריונים!$B$3),Jun!F30,"")</f>
        <v/>
      </c>
      <c r="AB29" s="113" t="str">
        <f>IF(AND(ABS(Jun!E30)&gt;קריטריונים!$B$1,Jun!B30&gt;קריטריונים!$B$3),Jun!E30,"")</f>
        <v/>
      </c>
      <c r="AC29" s="113" t="str">
        <f>IF(AND(ABS(May!K30)&gt;קריטריונים!$B$2,May!B30&gt;קריטריונים!$B$3),May!K30,"")</f>
        <v/>
      </c>
      <c r="AD29" s="113" t="str">
        <f>IF(AND(ABS(May!J30)&gt;קריטריונים!$B$2,May!B30&gt;קריטריונים!$B$3),May!J30,"")</f>
        <v/>
      </c>
      <c r="AE29" s="113" t="str">
        <f>IF(AND(ABS(May!F30)&gt;קריטריונים!$B$1,May!B30&gt;קריטריונים!$B$3),May!F30,"")</f>
        <v/>
      </c>
      <c r="AF29" s="113" t="str">
        <f>IF(AND(ABS(May!E30)&gt;קריטריונים!$B$1,May!B30&gt;קריטריונים!$B$3),May!E30,"")</f>
        <v/>
      </c>
      <c r="AG29" s="113" t="str">
        <f>IF(AND(ABS(Apr!K30)&gt;קריטריונים!$B$2,Apr!B30&gt;קריטריונים!$B$3),Apr!K30,"")</f>
        <v/>
      </c>
      <c r="AH29" s="113" t="str">
        <f>IF(AND(ABS(Apr!J30)&gt;קריטריונים!$B$2,Apr!B30&gt;קריטריונים!$B$3),Apr!J30,"")</f>
        <v/>
      </c>
      <c r="AI29" s="113" t="str">
        <f>IF(AND(ABS(Apr!F30)&gt;קריטריונים!$B$1,Apr!B30&gt;קריטריונים!$B$3),Apr!F30,"")</f>
        <v/>
      </c>
      <c r="AJ29" s="113" t="str">
        <f>IF(AND(ABS(Apr!E30)&gt;קריטריונים!$B$1,Apr!B30&gt;קריטריונים!$B$3),Apr!E30,"")</f>
        <v/>
      </c>
      <c r="AK29" s="113" t="str">
        <f>IF(AND(ABS(Mar!K30)&gt;קריטריונים!$B$2,Mar!B30&gt;קריטריונים!$B$3),Mar!K30,"")</f>
        <v/>
      </c>
      <c r="AL29" s="113" t="str">
        <f>IF(AND(ABS(Mar!J30)&gt;קריטריונים!$B$2,Mar!B30&gt;קריטריונים!$B$3),Mar!J30,"")</f>
        <v/>
      </c>
      <c r="AM29" s="113" t="str">
        <f>IF(AND(ABS(Mar!F30)&gt;קריטריונים!$B$1,Mar!B30&gt;קריטריונים!$B$3),Mar!F30,"")</f>
        <v/>
      </c>
      <c r="AN29" s="113" t="str">
        <f>IF(AND(ABS(Mar!E30)&gt;קריטריונים!$B$1,Mar!B30&gt;קריטריונים!$B$3),Mar!E30,"")</f>
        <v/>
      </c>
      <c r="AO29" s="113" t="str">
        <f>IF(AND(ABS(Feb!K30)&gt;קריטריונים!$B$2,Feb!B30&gt;קריטריונים!$B$3),Feb!K30,"")</f>
        <v/>
      </c>
      <c r="AP29" s="113" t="str">
        <f>IF(AND(ABS(Feb!J30)&gt;קריטריונים!$B$2,Feb!B30&gt;קריטריונים!$B$3),Feb!J30,"")</f>
        <v/>
      </c>
      <c r="AQ29" s="113" t="str">
        <f>IF(AND(ABS(Feb!F30)&gt;קריטריונים!$B$1,Feb!B30&gt;קריטריונים!$B$3),Feb!F30,"")</f>
        <v/>
      </c>
      <c r="AR29" s="113" t="str">
        <f>IF(AND(ABS(Feb!E30)&gt;קריטריונים!$B$1,Feb!B30&gt;קריטריונים!$B$3),Feb!E30,"")</f>
        <v/>
      </c>
      <c r="AS29" s="113" t="str">
        <f>IF(AND(ABS(Jan!F30)&gt;קריטריונים!$B$1,Jan!B30&gt;קריטריונים!$B$3),Jan!F30,"")</f>
        <v/>
      </c>
      <c r="AT29" s="103" t="str">
        <f>IF(AND(ABS(Jan!E30)&gt;קריטריונים!$B$1,Jan!B30&gt;קריטריונים!$B$3),Jan!E30,"")</f>
        <v/>
      </c>
      <c r="AU29" s="118" t="s">
        <v>23</v>
      </c>
      <c r="AV29" s="4"/>
    </row>
    <row r="30" spans="1:48">
      <c r="A30" s="112" t="str">
        <f>IF(AND(ABS(Dec!K31)&gt;קריטריונים!$B$2,Dec!B31&gt;קריטריונים!$B$3),Dec!K31,"")</f>
        <v/>
      </c>
      <c r="B30" s="113" t="str">
        <f>IF(AND(ABS(Dec!J31)&gt;קריטריונים!$B$2,Dec!B31&gt;קריטריונים!$B$3),Dec!J31,"")</f>
        <v/>
      </c>
      <c r="C30" s="113" t="str">
        <f>IF(AND(ABS(Dec!F31)&gt;קריטריונים!$B$1,Dec!B31&gt;קריטריונים!$B$3),Dec!F31,"")</f>
        <v/>
      </c>
      <c r="D30" s="113" t="str">
        <f>IF(AND(ABS(Dec!E31)&gt;קריטריונים!$B$1,Dec!B31&gt;קריטריונים!$B$3),Dec!E31,"")</f>
        <v/>
      </c>
      <c r="E30" s="113" t="str">
        <f>IF(AND(ABS(Nov!K31)&gt;קריטריונים!$B$2,Nov!B31&gt;קריטריונים!$B$3),Nov!K31,"")</f>
        <v/>
      </c>
      <c r="F30" s="113" t="str">
        <f>IF(AND(ABS(Nov!J31)&gt;קריטריונים!$B$2,Nov!B31&gt;קריטריונים!$B$3),Nov!J31,"")</f>
        <v/>
      </c>
      <c r="G30" s="113" t="str">
        <f>IF(AND(ABS(Nov!F31)&gt;קריטריונים!$B$1,Nov!B31&gt;קריטריונים!$B$3),Nov!F31,"")</f>
        <v/>
      </c>
      <c r="H30" s="113" t="str">
        <f>IF(AND(ABS(Nov!E31)&gt;קריטריונים!$B$1,Nov!B31&gt;קריטריונים!$B$3),Nov!E31,"")</f>
        <v/>
      </c>
      <c r="I30" s="113" t="str">
        <f>IF(AND(ABS(Oct!K31)&gt;קריטריונים!$B$2,Oct!B31&gt;קריטריונים!$B$3),Oct!K31,"")</f>
        <v/>
      </c>
      <c r="J30" s="113" t="str">
        <f>IF(AND(ABS(Oct!J31)&gt;קריטריונים!$B$2,Oct!B31&gt;קריטריונים!$B$3),Oct!J31,"")</f>
        <v/>
      </c>
      <c r="K30" s="113" t="str">
        <f>IF(AND(ABS(Oct!F31)&gt;קריטריונים!$B$1,Oct!B31&gt;קריטריונים!$B$3),Oct!F31,"")</f>
        <v/>
      </c>
      <c r="L30" s="113" t="str">
        <f>IF(AND(ABS(Oct!E31)&gt;קריטריונים!$B$1,Oct!B31&gt;קריטריונים!$B$3),Oct!E31,"")</f>
        <v/>
      </c>
      <c r="M30" s="113" t="str">
        <f>IF(AND(ABS(Sep!K31)&gt;קריטריונים!$B$2,Sep!B31&gt;קריטריונים!$B$3),Sep!K31,"")</f>
        <v/>
      </c>
      <c r="N30" s="113" t="str">
        <f>IF(AND(ABS(Sep!J31)&gt;קריטריונים!$B$2,Sep!B31&gt;קריטריונים!$B$3),Sep!J31,"")</f>
        <v/>
      </c>
      <c r="O30" s="113" t="str">
        <f>IF(AND(ABS(Sep!F31)&gt;קריטריונים!$B$1,Sep!B31&gt;קריטריונים!$B$3),Sep!F31,"")</f>
        <v/>
      </c>
      <c r="P30" s="113" t="str">
        <f>IF(AND(ABS(Sep!E31)&gt;קריטריונים!$B$1,Sep!B31&gt;קריטריונים!$B$3),Sep!E31,"")</f>
        <v/>
      </c>
      <c r="Q30" s="113" t="str">
        <f>IF(AND(ABS(Aug!K31)&gt;קריטריונים!$B$2,Aug!B31&gt;קריטריונים!$B$3),Aug!K31,"")</f>
        <v/>
      </c>
      <c r="R30" s="113" t="str">
        <f>IF(AND(ABS(Aug!J31)&gt;קריטריונים!$B$2,Aug!B31&gt;קריטריונים!$B$3),Aug!J31,"")</f>
        <v/>
      </c>
      <c r="S30" s="113" t="str">
        <f>IF(AND(ABS(Aug!F31)&gt;קריטריונים!$B$1,Aug!B31&gt;קריטריונים!$B$3),Aug!F31,"")</f>
        <v/>
      </c>
      <c r="T30" s="113" t="str">
        <f>IF(AND(ABS(Aug!E31)&gt;קריטריונים!$B$1,Aug!B31&gt;קריטריונים!$B$3),Aug!E31,"")</f>
        <v/>
      </c>
      <c r="U30" s="113" t="str">
        <f>IF(AND(ABS(Jul!K31)&gt;קריטריונים!$B$2,Jul!B31&gt;קריטריונים!$B$3),Jul!K31,"")</f>
        <v/>
      </c>
      <c r="V30" s="113" t="str">
        <f>IF(AND(ABS(Jul!J31)&gt;קריטריונים!$B$2,Jul!B31&gt;קריטריונים!$B$3),Jul!J31,"")</f>
        <v/>
      </c>
      <c r="W30" s="113" t="str">
        <f>IF(AND(ABS(Jul!F31)&gt;קריטריונים!$B$1,Jul!B31&gt;קריטריונים!$B$3),Jul!F31,"")</f>
        <v/>
      </c>
      <c r="X30" s="113" t="str">
        <f>IF(AND(ABS(Jul!E31)&gt;קריטריונים!$B$1,Jul!B31&gt;קריטריונים!$B$3),Jul!E31,"")</f>
        <v/>
      </c>
      <c r="Y30" s="113" t="str">
        <f>IF(AND(ABS(Jun!K31)&gt;קריטריונים!$B$2,Jun!B31&gt;קריטריונים!$B$3),Jun!K31,"")</f>
        <v/>
      </c>
      <c r="Z30" s="113" t="str">
        <f>IF(AND(ABS(Jun!J31)&gt;קריטריונים!$B$2,Jun!B31&gt;קריטריונים!$B$3),Jun!J31,"")</f>
        <v/>
      </c>
      <c r="AA30" s="113" t="str">
        <f>IF(AND(ABS(Jun!F31)&gt;קריטריונים!$B$1,Jun!B31&gt;קריטריונים!$B$3),Jun!F31,"")</f>
        <v/>
      </c>
      <c r="AB30" s="113" t="str">
        <f>IF(AND(ABS(Jun!E31)&gt;קריטריונים!$B$1,Jun!B31&gt;קריטריונים!$B$3),Jun!E31,"")</f>
        <v/>
      </c>
      <c r="AC30" s="113" t="str">
        <f>IF(AND(ABS(May!K31)&gt;קריטריונים!$B$2,May!B31&gt;קריטריונים!$B$3),May!K31,"")</f>
        <v/>
      </c>
      <c r="AD30" s="113" t="str">
        <f>IF(AND(ABS(May!J31)&gt;קריטריונים!$B$2,May!B31&gt;קריטריונים!$B$3),May!J31,"")</f>
        <v/>
      </c>
      <c r="AE30" s="113" t="str">
        <f>IF(AND(ABS(May!F31)&gt;קריטריונים!$B$1,May!B31&gt;קריטריונים!$B$3),May!F31,"")</f>
        <v/>
      </c>
      <c r="AF30" s="113" t="str">
        <f>IF(AND(ABS(May!E31)&gt;קריטריונים!$B$1,May!B31&gt;קריטריונים!$B$3),May!E31,"")</f>
        <v/>
      </c>
      <c r="AG30" s="113" t="str">
        <f>IF(AND(ABS(Apr!K31)&gt;קריטריונים!$B$2,Apr!B31&gt;קריטריונים!$B$3),Apr!K31,"")</f>
        <v/>
      </c>
      <c r="AH30" s="113" t="str">
        <f>IF(AND(ABS(Apr!J31)&gt;קריטריונים!$B$2,Apr!B31&gt;קריטריונים!$B$3),Apr!J31,"")</f>
        <v/>
      </c>
      <c r="AI30" s="113" t="str">
        <f>IF(AND(ABS(Apr!F31)&gt;קריטריונים!$B$1,Apr!B31&gt;קריטריונים!$B$3),Apr!F31,"")</f>
        <v/>
      </c>
      <c r="AJ30" s="113" t="str">
        <f>IF(AND(ABS(Apr!E31)&gt;קריטריונים!$B$1,Apr!B31&gt;קריטריונים!$B$3),Apr!E31,"")</f>
        <v/>
      </c>
      <c r="AK30" s="113" t="str">
        <f>IF(AND(ABS(Mar!K31)&gt;קריטריונים!$B$2,Mar!B31&gt;קריטריונים!$B$3),Mar!K31,"")</f>
        <v/>
      </c>
      <c r="AL30" s="113" t="str">
        <f>IF(AND(ABS(Mar!J31)&gt;קריטריונים!$B$2,Mar!B31&gt;קריטריונים!$B$3),Mar!J31,"")</f>
        <v/>
      </c>
      <c r="AM30" s="113" t="str">
        <f>IF(AND(ABS(Mar!F31)&gt;קריטריונים!$B$1,Mar!B31&gt;קריטריונים!$B$3),Mar!F31,"")</f>
        <v/>
      </c>
      <c r="AN30" s="113" t="str">
        <f>IF(AND(ABS(Mar!E31)&gt;קריטריונים!$B$1,Mar!B31&gt;קריטריונים!$B$3),Mar!E31,"")</f>
        <v/>
      </c>
      <c r="AO30" s="113" t="str">
        <f>IF(AND(ABS(Feb!K31)&gt;קריטריונים!$B$2,Feb!B31&gt;קריטריונים!$B$3),Feb!K31,"")</f>
        <v/>
      </c>
      <c r="AP30" s="113" t="str">
        <f>IF(AND(ABS(Feb!J31)&gt;קריטריונים!$B$2,Feb!B31&gt;קריטריונים!$B$3),Feb!J31,"")</f>
        <v/>
      </c>
      <c r="AQ30" s="113" t="str">
        <f>IF(AND(ABS(Feb!F31)&gt;קריטריונים!$B$1,Feb!B31&gt;קריטריונים!$B$3),Feb!F31,"")</f>
        <v/>
      </c>
      <c r="AR30" s="113" t="str">
        <f>IF(AND(ABS(Feb!E31)&gt;קריטריונים!$B$1,Feb!B31&gt;קריטריונים!$B$3),Feb!E31,"")</f>
        <v/>
      </c>
      <c r="AS30" s="113" t="str">
        <f>IF(AND(ABS(Jan!F31)&gt;קריטריונים!$B$1,Jan!B31&gt;קריטריונים!$B$3),Jan!F31,"")</f>
        <v/>
      </c>
      <c r="AT30" s="103" t="str">
        <f>IF(AND(ABS(Jan!E31)&gt;קריטריונים!$B$1,Jan!B31&gt;קריטריונים!$B$3),Jan!E31,"")</f>
        <v/>
      </c>
      <c r="AU30" s="118" t="s">
        <v>24</v>
      </c>
      <c r="AV30" s="95"/>
    </row>
    <row r="31" spans="1:48">
      <c r="A31" s="112" t="str">
        <f>IF(AND(ABS(Dec!K32)&gt;קריטריונים!$B$2,Dec!B32&gt;קריטריונים!$B$3),Dec!K32,"")</f>
        <v/>
      </c>
      <c r="B31" s="113" t="str">
        <f>IF(AND(ABS(Dec!J32)&gt;קריטריונים!$B$2,Dec!B32&gt;קריטריונים!$B$3),Dec!J32,"")</f>
        <v/>
      </c>
      <c r="C31" s="113" t="str">
        <f>IF(AND(ABS(Dec!F32)&gt;קריטריונים!$B$1,Dec!B32&gt;קריטריונים!$B$3),Dec!F32,"")</f>
        <v/>
      </c>
      <c r="D31" s="113" t="str">
        <f>IF(AND(ABS(Dec!E32)&gt;קריטריונים!$B$1,Dec!B32&gt;קריטריונים!$B$3),Dec!E32,"")</f>
        <v/>
      </c>
      <c r="E31" s="113" t="str">
        <f>IF(AND(ABS(Nov!K32)&gt;קריטריונים!$B$2,Nov!B32&gt;קריטריונים!$B$3),Nov!K32,"")</f>
        <v/>
      </c>
      <c r="F31" s="113" t="str">
        <f>IF(AND(ABS(Nov!J32)&gt;קריטריונים!$B$2,Nov!B32&gt;קריטריונים!$B$3),Nov!J32,"")</f>
        <v/>
      </c>
      <c r="G31" s="113" t="str">
        <f>IF(AND(ABS(Nov!F32)&gt;קריטריונים!$B$1,Nov!B32&gt;קריטריונים!$B$3),Nov!F32,"")</f>
        <v/>
      </c>
      <c r="H31" s="113" t="str">
        <f>IF(AND(ABS(Nov!E32)&gt;קריטריונים!$B$1,Nov!B32&gt;קריטריונים!$B$3),Nov!E32,"")</f>
        <v/>
      </c>
      <c r="I31" s="113" t="str">
        <f>IF(AND(ABS(Oct!K32)&gt;קריטריונים!$B$2,Oct!B32&gt;קריטריונים!$B$3),Oct!K32,"")</f>
        <v/>
      </c>
      <c r="J31" s="113" t="str">
        <f>IF(AND(ABS(Oct!J32)&gt;קריטריונים!$B$2,Oct!B32&gt;קריטריונים!$B$3),Oct!J32,"")</f>
        <v/>
      </c>
      <c r="K31" s="113" t="str">
        <f>IF(AND(ABS(Oct!F32)&gt;קריטריונים!$B$1,Oct!B32&gt;קריטריונים!$B$3),Oct!F32,"")</f>
        <v/>
      </c>
      <c r="L31" s="113" t="str">
        <f>IF(AND(ABS(Oct!E32)&gt;קריטריונים!$B$1,Oct!B32&gt;קריטריונים!$B$3),Oct!E32,"")</f>
        <v/>
      </c>
      <c r="M31" s="113" t="str">
        <f>IF(AND(ABS(Sep!K32)&gt;קריטריונים!$B$2,Sep!B32&gt;קריטריונים!$B$3),Sep!K32,"")</f>
        <v/>
      </c>
      <c r="N31" s="113" t="str">
        <f>IF(AND(ABS(Sep!J32)&gt;קריטריונים!$B$2,Sep!B32&gt;קריטריונים!$B$3),Sep!J32,"")</f>
        <v/>
      </c>
      <c r="O31" s="113" t="str">
        <f>IF(AND(ABS(Sep!F32)&gt;קריטריונים!$B$1,Sep!B32&gt;קריטריונים!$B$3),Sep!F32,"")</f>
        <v/>
      </c>
      <c r="P31" s="113" t="str">
        <f>IF(AND(ABS(Sep!E32)&gt;קריטריונים!$B$1,Sep!B32&gt;קריטריונים!$B$3),Sep!E32,"")</f>
        <v/>
      </c>
      <c r="Q31" s="113" t="str">
        <f>IF(AND(ABS(Aug!K32)&gt;קריטריונים!$B$2,Aug!B32&gt;קריטריונים!$B$3),Aug!K32,"")</f>
        <v/>
      </c>
      <c r="R31" s="113" t="str">
        <f>IF(AND(ABS(Aug!J32)&gt;קריטריונים!$B$2,Aug!B32&gt;קריטריונים!$B$3),Aug!J32,"")</f>
        <v/>
      </c>
      <c r="S31" s="113" t="str">
        <f>IF(AND(ABS(Aug!F32)&gt;קריטריונים!$B$1,Aug!B32&gt;קריטריונים!$B$3),Aug!F32,"")</f>
        <v/>
      </c>
      <c r="T31" s="113" t="str">
        <f>IF(AND(ABS(Aug!E32)&gt;קריטריונים!$B$1,Aug!B32&gt;קריטריונים!$B$3),Aug!E32,"")</f>
        <v/>
      </c>
      <c r="U31" s="113" t="str">
        <f>IF(AND(ABS(Jul!K32)&gt;קריטריונים!$B$2,Jul!B32&gt;קריטריונים!$B$3),Jul!K32,"")</f>
        <v/>
      </c>
      <c r="V31" s="113" t="str">
        <f>IF(AND(ABS(Jul!J32)&gt;קריטריונים!$B$2,Jul!B32&gt;קריטריונים!$B$3),Jul!J32,"")</f>
        <v/>
      </c>
      <c r="W31" s="113" t="str">
        <f>IF(AND(ABS(Jul!F32)&gt;קריטריונים!$B$1,Jul!B32&gt;קריטריונים!$B$3),Jul!F32,"")</f>
        <v/>
      </c>
      <c r="X31" s="113" t="str">
        <f>IF(AND(ABS(Jul!E32)&gt;קריטריונים!$B$1,Jul!B32&gt;קריטריונים!$B$3),Jul!E32,"")</f>
        <v/>
      </c>
      <c r="Y31" s="113" t="str">
        <f>IF(AND(ABS(Jun!K32)&gt;קריטריונים!$B$2,Jun!B32&gt;קריטריונים!$B$3),Jun!K32,"")</f>
        <v/>
      </c>
      <c r="Z31" s="113" t="str">
        <f>IF(AND(ABS(Jun!J32)&gt;קריטריונים!$B$2,Jun!B32&gt;קריטריונים!$B$3),Jun!J32,"")</f>
        <v/>
      </c>
      <c r="AA31" s="113" t="str">
        <f>IF(AND(ABS(Jun!F32)&gt;קריטריונים!$B$1,Jun!B32&gt;קריטריונים!$B$3),Jun!F32,"")</f>
        <v/>
      </c>
      <c r="AB31" s="113" t="str">
        <f>IF(AND(ABS(Jun!E32)&gt;קריטריונים!$B$1,Jun!B32&gt;קריטריונים!$B$3),Jun!E32,"")</f>
        <v/>
      </c>
      <c r="AC31" s="113" t="str">
        <f>IF(AND(ABS(May!K32)&gt;קריטריונים!$B$2,May!B32&gt;קריטריונים!$B$3),May!K32,"")</f>
        <v/>
      </c>
      <c r="AD31" s="113" t="str">
        <f>IF(AND(ABS(May!J32)&gt;קריטריונים!$B$2,May!B32&gt;קריטריונים!$B$3),May!J32,"")</f>
        <v/>
      </c>
      <c r="AE31" s="113" t="str">
        <f>IF(AND(ABS(May!F32)&gt;קריטריונים!$B$1,May!B32&gt;קריטריונים!$B$3),May!F32,"")</f>
        <v/>
      </c>
      <c r="AF31" s="113" t="str">
        <f>IF(AND(ABS(May!E32)&gt;קריטריונים!$B$1,May!B32&gt;קריטריונים!$B$3),May!E32,"")</f>
        <v/>
      </c>
      <c r="AG31" s="113" t="str">
        <f>IF(AND(ABS(Apr!K32)&gt;קריטריונים!$B$2,Apr!B32&gt;קריטריונים!$B$3),Apr!K32,"")</f>
        <v/>
      </c>
      <c r="AH31" s="113" t="str">
        <f>IF(AND(ABS(Apr!J32)&gt;קריטריונים!$B$2,Apr!B32&gt;קריטריונים!$B$3),Apr!J32,"")</f>
        <v/>
      </c>
      <c r="AI31" s="113" t="str">
        <f>IF(AND(ABS(Apr!F32)&gt;קריטריונים!$B$1,Apr!B32&gt;קריטריונים!$B$3),Apr!F32,"")</f>
        <v/>
      </c>
      <c r="AJ31" s="113" t="str">
        <f>IF(AND(ABS(Apr!E32)&gt;קריטריונים!$B$1,Apr!B32&gt;קריטריונים!$B$3),Apr!E32,"")</f>
        <v/>
      </c>
      <c r="AK31" s="113" t="str">
        <f>IF(AND(ABS(Mar!K32)&gt;קריטריונים!$B$2,Mar!B32&gt;קריטריונים!$B$3),Mar!K32,"")</f>
        <v/>
      </c>
      <c r="AL31" s="113" t="str">
        <f>IF(AND(ABS(Mar!J32)&gt;קריטריונים!$B$2,Mar!B32&gt;קריטריונים!$B$3),Mar!J32,"")</f>
        <v/>
      </c>
      <c r="AM31" s="113" t="str">
        <f>IF(AND(ABS(Mar!F32)&gt;קריטריונים!$B$1,Mar!B32&gt;קריטריונים!$B$3),Mar!F32,"")</f>
        <v/>
      </c>
      <c r="AN31" s="113" t="str">
        <f>IF(AND(ABS(Mar!E32)&gt;קריטריונים!$B$1,Mar!B32&gt;קריטריונים!$B$3),Mar!E32,"")</f>
        <v/>
      </c>
      <c r="AO31" s="113" t="str">
        <f>IF(AND(ABS(Feb!K32)&gt;קריטריונים!$B$2,Feb!B32&gt;קריטריונים!$B$3),Feb!K32,"")</f>
        <v/>
      </c>
      <c r="AP31" s="113" t="str">
        <f>IF(AND(ABS(Feb!J32)&gt;קריטריונים!$B$2,Feb!B32&gt;קריטריונים!$B$3),Feb!J32,"")</f>
        <v/>
      </c>
      <c r="AQ31" s="113" t="str">
        <f>IF(AND(ABS(Feb!F32)&gt;קריטריונים!$B$1,Feb!B32&gt;קריטריונים!$B$3),Feb!F32,"")</f>
        <v/>
      </c>
      <c r="AR31" s="113" t="str">
        <f>IF(AND(ABS(Feb!E32)&gt;קריטריונים!$B$1,Feb!B32&gt;קריטריונים!$B$3),Feb!E32,"")</f>
        <v/>
      </c>
      <c r="AS31" s="113" t="str">
        <f>IF(AND(ABS(Jan!F32)&gt;קריטריונים!$B$1,Jan!B32&gt;קריטריונים!$B$3),Jan!F32,"")</f>
        <v/>
      </c>
      <c r="AT31" s="103" t="str">
        <f>IF(AND(ABS(Jan!E32)&gt;קריטריונים!$B$1,Jan!B32&gt;קריטריונים!$B$3),Jan!E32,"")</f>
        <v/>
      </c>
      <c r="AU31" s="118" t="s">
        <v>25</v>
      </c>
      <c r="AV31" s="95"/>
    </row>
    <row r="32" spans="1:48">
      <c r="A32" s="112" t="str">
        <f>IF(AND(ABS(Dec!K33)&gt;קריטריונים!$B$2,Dec!B33&gt;קריטריונים!$B$3),Dec!K33,"")</f>
        <v/>
      </c>
      <c r="B32" s="113" t="str">
        <f>IF(AND(ABS(Dec!J33)&gt;קריטריונים!$B$2,Dec!B33&gt;קריטריונים!$B$3),Dec!J33,"")</f>
        <v/>
      </c>
      <c r="C32" s="113" t="str">
        <f>IF(AND(ABS(Dec!F33)&gt;קריטריונים!$B$1,Dec!B33&gt;קריטריונים!$B$3),Dec!F33,"")</f>
        <v/>
      </c>
      <c r="D32" s="113" t="str">
        <f>IF(AND(ABS(Dec!E33)&gt;קריטריונים!$B$1,Dec!B33&gt;קריטריונים!$B$3),Dec!E33,"")</f>
        <v/>
      </c>
      <c r="E32" s="113">
        <f>IF(AND(ABS(Nov!K33)&gt;קריטריונים!$B$2,Nov!B33&gt;קריטריונים!$B$3),Nov!K33,"")</f>
        <v>0.18891859605210759</v>
      </c>
      <c r="F32" s="113">
        <f>IF(AND(ABS(Nov!J33)&gt;קריטריונים!$B$2,Nov!B33&gt;קריטריונים!$B$3),Nov!J33,"")</f>
        <v>0.27074846476561043</v>
      </c>
      <c r="G32" s="113">
        <f>IF(AND(ABS(Nov!F33)&gt;קריטריונים!$B$1,Nov!B33&gt;קריטריונים!$B$3),Nov!F33,"")</f>
        <v>0.85029436501261579</v>
      </c>
      <c r="H32" s="113">
        <f>IF(AND(ABS(Nov!E33)&gt;קריטריונים!$B$1,Nov!B33&gt;קריטריונים!$B$3),Nov!E33,"")</f>
        <v>0.22358175750834275</v>
      </c>
      <c r="I32" s="113">
        <f>IF(AND(ABS(Oct!K33)&gt;קריטריונים!$B$2,Oct!B33&gt;קריטריונים!$B$3),Oct!K33,"")</f>
        <v>0.14093959731543615</v>
      </c>
      <c r="J32" s="113">
        <f>IF(AND(ABS(Oct!J33)&gt;קריטריונים!$B$2,Oct!B33&gt;קריטריונים!$B$3),Oct!J33,"")</f>
        <v>0.27653764762099797</v>
      </c>
      <c r="K32" s="113">
        <f>IF(AND(ABS(Oct!F33)&gt;קריטריונים!$B$1,Oct!B33&gt;קריטריונים!$B$3),Oct!F33,"")</f>
        <v>0.10336817653890829</v>
      </c>
      <c r="L32" s="113">
        <f>IF(AND(ABS(Oct!E33)&gt;קריטריונים!$B$1,Oct!B33&gt;קריטריונים!$B$3),Oct!E33,"")</f>
        <v>0.35327635327635321</v>
      </c>
      <c r="M32" s="113">
        <f>IF(AND(ABS(Sep!K33)&gt;קריטריונים!$B$2,Sep!B33&gt;קריטריונים!$B$3),Sep!K33,"")</f>
        <v>0.14535042268884668</v>
      </c>
      <c r="N32" s="113">
        <f>IF(AND(ABS(Sep!J33)&gt;קריטריונים!$B$2,Sep!B33&gt;קריטריונים!$B$3),Sep!J33,"")</f>
        <v>0.26840317100792754</v>
      </c>
      <c r="O32" s="113">
        <f>IF(AND(ABS(Sep!F33)&gt;קריטריונים!$B$1,Sep!B33&gt;קריטריונים!$B$3),Sep!F33,"")</f>
        <v>0.24640460210930026</v>
      </c>
      <c r="P32" s="113">
        <f>IF(AND(ABS(Sep!E33)&gt;קריטריונים!$B$1,Sep!B33&gt;קריטריונים!$B$3),Sep!E33,"")</f>
        <v>0.63624921334172435</v>
      </c>
      <c r="Q32" s="113">
        <f>IF(AND(ABS(Aug!K33)&gt;קריטריונים!$B$2,Aug!B33&gt;קריטריונים!$B$3),Aug!K33,"")</f>
        <v>0.12859640756636459</v>
      </c>
      <c r="R32" s="113">
        <f>IF(AND(ABS(Aug!J33)&gt;קריטריונים!$B$2,Aug!B33&gt;קריטריונים!$B$3),Aug!J33,"")</f>
        <v>0.21825669183253238</v>
      </c>
      <c r="S32" s="113">
        <f>IF(AND(ABS(Aug!F33)&gt;קריטריונים!$B$1,Aug!B33&gt;קריטריונים!$B$3),Aug!F33,"")</f>
        <v>0.16044399596367298</v>
      </c>
      <c r="T32" s="113">
        <f>IF(AND(ABS(Aug!E33)&gt;קריטריונים!$B$1,Aug!B33&gt;קריטריונים!$B$3),Aug!E33,"")</f>
        <v>0.57967032967032961</v>
      </c>
      <c r="U32" s="113">
        <f>IF(AND(ABS(Jul!K33)&gt;קריטריונים!$B$2,Jul!B33&gt;קריטריונים!$B$3),Jul!K33,"")</f>
        <v>-5.4204419011286142E-2</v>
      </c>
      <c r="V32" s="113">
        <f>IF(AND(ABS(Jul!J33)&gt;קריטריונים!$B$2,Jul!B33&gt;קריטריונים!$B$3),Jul!J33,"")</f>
        <v>0.1666666666666663</v>
      </c>
      <c r="W32" s="113">
        <f>IF(AND(ABS(Jul!F33)&gt;קריטריונים!$B$1,Jul!B33&gt;קריטריונים!$B$3),Jul!F33,"")</f>
        <v>0.11548556430446189</v>
      </c>
      <c r="X32" s="113">
        <f>IF(AND(ABS(Jul!E33)&gt;קריטריונים!$B$1,Jul!B33&gt;קריטריונים!$B$3),Jul!E33,"")</f>
        <v>0.19549929676511968</v>
      </c>
      <c r="Y32" s="113">
        <f>IF(AND(ABS(Jun!K33)&gt;קריטריונים!$B$2,Jun!B33&gt;קריטריונים!$B$3),Jun!K33,"")</f>
        <v>7.0866141732283339E-2</v>
      </c>
      <c r="Z32" s="113">
        <f>IF(AND(ABS(Jun!J33)&gt;קריטריונים!$B$2,Jun!B33&gt;קריטריונים!$B$3),Jun!J33,"")</f>
        <v>0.16199589883800392</v>
      </c>
      <c r="AA32" s="113">
        <f>IF(AND(ABS(Jun!F33)&gt;קריטריונים!$B$1,Jun!B33&gt;קריטריונים!$B$3),Jun!F33,"")</f>
        <v>0.31470829909613807</v>
      </c>
      <c r="AB32" s="113">
        <f>IF(AND(ABS(Jun!E33)&gt;קריטריונים!$B$1,Jun!B33&gt;קריטריונים!$B$3),Jun!E33,"")</f>
        <v>0.35593220338983067</v>
      </c>
      <c r="AC32" s="113">
        <f>IF(AND(ABS(May!K33)&gt;קריטריונים!$B$2,May!B33&gt;קריטריונים!$B$3),May!K33,"")</f>
        <v>9.4286804937014912E-2</v>
      </c>
      <c r="AD32" s="113">
        <f>IF(AND(ABS(May!J33)&gt;קריטריונים!$B$2,May!B33&gt;קריטריונים!$B$3),May!J33,"")</f>
        <v>0.13187680968675952</v>
      </c>
      <c r="AE32" s="113">
        <f>IF(AND(ABS(May!F33)&gt;קריטריונים!$B$1,May!B33&gt;קריטריונים!$B$3),May!F33,"")</f>
        <v>-0.23076923076923073</v>
      </c>
      <c r="AF32" s="113">
        <f>IF(AND(ABS(May!E33)&gt;קריטריונים!$B$1,May!B33&gt;קריטריונים!$B$3),May!E33,"")</f>
        <v>9.8901098901098994E-2</v>
      </c>
      <c r="AG32" s="113">
        <f>IF(AND(ABS(Apr!K33)&gt;קריטריונים!$B$2,Apr!B33&gt;קריטריונים!$B$3),Apr!K33,"")</f>
        <v>0.21128222875930103</v>
      </c>
      <c r="AH32" s="113">
        <f>IF(AND(ABS(Apr!J33)&gt;קריטריונים!$B$2,Apr!B33&gt;קריטריונים!$B$3),Apr!J33,"")</f>
        <v>0.139693910778248</v>
      </c>
      <c r="AI32" s="113">
        <f>IF(AND(ABS(Apr!F33)&gt;קריטריונים!$B$1,Apr!B33&gt;קריטריונים!$B$3),Apr!F33,"")</f>
        <v>0.16241524055537626</v>
      </c>
      <c r="AJ32" s="113">
        <f>IF(AND(ABS(Apr!E33)&gt;קריטריונים!$B$1,Apr!B33&gt;קריטריונים!$B$3),Apr!E33,"")</f>
        <v>0.35746606334841635</v>
      </c>
      <c r="AK32" s="113" t="str">
        <f>IF(AND(ABS(Mar!K33)&gt;קריטריונים!$B$2,Mar!B33&gt;קריטריונים!$B$3),Mar!K33,"")</f>
        <v/>
      </c>
      <c r="AL32" s="113" t="str">
        <f>IF(AND(ABS(Mar!J33)&gt;קריטריונים!$B$2,Mar!B33&gt;קריטריונים!$B$3),Mar!J33,"")</f>
        <v/>
      </c>
      <c r="AM32" s="113" t="str">
        <f>IF(AND(ABS(Mar!F33)&gt;קריטריונים!$B$1,Mar!B33&gt;קריטריונים!$B$3),Mar!F33,"")</f>
        <v/>
      </c>
      <c r="AN32" s="113" t="str">
        <f>IF(AND(ABS(Mar!E33)&gt;קריטריונים!$B$1,Mar!B33&gt;קריטריונים!$B$3),Mar!E33,"")</f>
        <v/>
      </c>
      <c r="AO32" s="113" t="str">
        <f>IF(AND(ABS(Feb!K33)&gt;קריטריונים!$B$2,Feb!B33&gt;קריטריונים!$B$3),Feb!K33,"")</f>
        <v/>
      </c>
      <c r="AP32" s="113" t="str">
        <f>IF(AND(ABS(Feb!J33)&gt;קריטריונים!$B$2,Feb!B33&gt;קריטריונים!$B$3),Feb!J33,"")</f>
        <v/>
      </c>
      <c r="AQ32" s="113" t="str">
        <f>IF(AND(ABS(Feb!F33)&gt;קריטריונים!$B$1,Feb!B33&gt;קריטריונים!$B$3),Feb!F33,"")</f>
        <v/>
      </c>
      <c r="AR32" s="113" t="str">
        <f>IF(AND(ABS(Feb!E33)&gt;קריטריונים!$B$1,Feb!B33&gt;קריטריונים!$B$3),Feb!E33,"")</f>
        <v/>
      </c>
      <c r="AS32" s="113" t="str">
        <f>IF(AND(ABS(Jan!F33)&gt;קריטריונים!$B$1,Jan!B33&gt;קריטריונים!$B$3),Jan!F33,"")</f>
        <v/>
      </c>
      <c r="AT32" s="103" t="str">
        <f>IF(AND(ABS(Jan!E33)&gt;קריטריונים!$B$1,Jan!B33&gt;קריטריונים!$B$3),Jan!E33,"")</f>
        <v/>
      </c>
      <c r="AU32" s="118" t="s">
        <v>19</v>
      </c>
      <c r="AV32" s="4"/>
    </row>
    <row r="33" spans="1:48">
      <c r="A33" s="112" t="str">
        <f>IF(AND(ABS(Dec!K34)&gt;קריטריונים!$B$2,Dec!B34&gt;קריטריונים!$B$3),Dec!K34,"")</f>
        <v/>
      </c>
      <c r="B33" s="113" t="str">
        <f>IF(AND(ABS(Dec!J34)&gt;קריטריונים!$B$2,Dec!B34&gt;קריטריונים!$B$3),Dec!J34,"")</f>
        <v/>
      </c>
      <c r="C33" s="113" t="str">
        <f>IF(AND(ABS(Dec!F34)&gt;קריטריונים!$B$1,Dec!B34&gt;קריטריונים!$B$3),Dec!F34,"")</f>
        <v/>
      </c>
      <c r="D33" s="113" t="str">
        <f>IF(AND(ABS(Dec!E34)&gt;קריטריונים!$B$1,Dec!B34&gt;קריטריונים!$B$3),Dec!E34,"")</f>
        <v/>
      </c>
      <c r="E33" s="113" t="str">
        <f>IF(AND(ABS(Nov!K34)&gt;קריטריונים!$B$2,Nov!B34&gt;קריטריונים!$B$3),Nov!K34,"")</f>
        <v/>
      </c>
      <c r="F33" s="113" t="str">
        <f>IF(AND(ABS(Nov!J34)&gt;קריטריונים!$B$2,Nov!B34&gt;קריטריונים!$B$3),Nov!J34,"")</f>
        <v/>
      </c>
      <c r="G33" s="113" t="str">
        <f>IF(AND(ABS(Nov!F34)&gt;קריטריונים!$B$1,Nov!B34&gt;קריטריונים!$B$3),Nov!F34,"")</f>
        <v/>
      </c>
      <c r="H33" s="113" t="str">
        <f>IF(AND(ABS(Nov!E34)&gt;קריטריונים!$B$1,Nov!B34&gt;קריטריונים!$B$3),Nov!E34,"")</f>
        <v/>
      </c>
      <c r="I33" s="113" t="str">
        <f>IF(AND(ABS(Oct!K34)&gt;קריטריונים!$B$2,Oct!B34&gt;קריטריונים!$B$3),Oct!K34,"")</f>
        <v/>
      </c>
      <c r="J33" s="113" t="str">
        <f>IF(AND(ABS(Oct!J34)&gt;קריטריונים!$B$2,Oct!B34&gt;קריטריונים!$B$3),Oct!J34,"")</f>
        <v/>
      </c>
      <c r="K33" s="113" t="str">
        <f>IF(AND(ABS(Oct!F34)&gt;קריטריונים!$B$1,Oct!B34&gt;קריטריונים!$B$3),Oct!F34,"")</f>
        <v/>
      </c>
      <c r="L33" s="113" t="str">
        <f>IF(AND(ABS(Oct!E34)&gt;קריטריונים!$B$1,Oct!B34&gt;קריטריונים!$B$3),Oct!E34,"")</f>
        <v/>
      </c>
      <c r="M33" s="113" t="str">
        <f>IF(AND(ABS(Sep!K34)&gt;קריטריונים!$B$2,Sep!B34&gt;קריטריונים!$B$3),Sep!K34,"")</f>
        <v/>
      </c>
      <c r="N33" s="113" t="str">
        <f>IF(AND(ABS(Sep!J34)&gt;קריטריונים!$B$2,Sep!B34&gt;קריטריונים!$B$3),Sep!J34,"")</f>
        <v/>
      </c>
      <c r="O33" s="113" t="str">
        <f>IF(AND(ABS(Sep!F34)&gt;קריטריונים!$B$1,Sep!B34&gt;קריטריונים!$B$3),Sep!F34,"")</f>
        <v/>
      </c>
      <c r="P33" s="113" t="str">
        <f>IF(AND(ABS(Sep!E34)&gt;קריטריונים!$B$1,Sep!B34&gt;קריטריונים!$B$3),Sep!E34,"")</f>
        <v/>
      </c>
      <c r="Q33" s="113" t="str">
        <f>IF(AND(ABS(Aug!K34)&gt;קריטריונים!$B$2,Aug!B34&gt;קריטריונים!$B$3),Aug!K34,"")</f>
        <v/>
      </c>
      <c r="R33" s="113" t="str">
        <f>IF(AND(ABS(Aug!J34)&gt;קריטריונים!$B$2,Aug!B34&gt;קריטריונים!$B$3),Aug!J34,"")</f>
        <v/>
      </c>
      <c r="S33" s="113" t="str">
        <f>IF(AND(ABS(Aug!F34)&gt;קריטריונים!$B$1,Aug!B34&gt;קריטריונים!$B$3),Aug!F34,"")</f>
        <v/>
      </c>
      <c r="T33" s="113" t="str">
        <f>IF(AND(ABS(Aug!E34)&gt;קריטריונים!$B$1,Aug!B34&gt;קריטריונים!$B$3),Aug!E34,"")</f>
        <v/>
      </c>
      <c r="U33" s="113" t="str">
        <f>IF(AND(ABS(Jul!K34)&gt;קריטריונים!$B$2,Jul!B34&gt;קריטריונים!$B$3),Jul!K34,"")</f>
        <v/>
      </c>
      <c r="V33" s="113" t="str">
        <f>IF(AND(ABS(Jul!J34)&gt;קריטריונים!$B$2,Jul!B34&gt;קריטריונים!$B$3),Jul!J34,"")</f>
        <v/>
      </c>
      <c r="W33" s="113" t="str">
        <f>IF(AND(ABS(Jul!F34)&gt;קריטריונים!$B$1,Jul!B34&gt;קריטריונים!$B$3),Jul!F34,"")</f>
        <v/>
      </c>
      <c r="X33" s="113" t="str">
        <f>IF(AND(ABS(Jul!E34)&gt;קריטריונים!$B$1,Jul!B34&gt;קריטריונים!$B$3),Jul!E34,"")</f>
        <v/>
      </c>
      <c r="Y33" s="113" t="str">
        <f>IF(AND(ABS(Jun!K34)&gt;קריטריונים!$B$2,Jun!B34&gt;קריטריונים!$B$3),Jun!K34,"")</f>
        <v/>
      </c>
      <c r="Z33" s="113" t="str">
        <f>IF(AND(ABS(Jun!J34)&gt;קריטריונים!$B$2,Jun!B34&gt;קריטריונים!$B$3),Jun!J34,"")</f>
        <v/>
      </c>
      <c r="AA33" s="113" t="str">
        <f>IF(AND(ABS(Jun!F34)&gt;קריטריונים!$B$1,Jun!B34&gt;קריטריונים!$B$3),Jun!F34,"")</f>
        <v/>
      </c>
      <c r="AB33" s="113" t="str">
        <f>IF(AND(ABS(Jun!E34)&gt;קריטריונים!$B$1,Jun!B34&gt;קריטריונים!$B$3),Jun!E34,"")</f>
        <v/>
      </c>
      <c r="AC33" s="113" t="str">
        <f>IF(AND(ABS(May!K34)&gt;קריטריונים!$B$2,May!B34&gt;קריטריונים!$B$3),May!K34,"")</f>
        <v/>
      </c>
      <c r="AD33" s="113" t="str">
        <f>IF(AND(ABS(May!J34)&gt;קריטריונים!$B$2,May!B34&gt;קריטריונים!$B$3),May!J34,"")</f>
        <v/>
      </c>
      <c r="AE33" s="113" t="str">
        <f>IF(AND(ABS(May!F34)&gt;קריטריונים!$B$1,May!B34&gt;קריטריונים!$B$3),May!F34,"")</f>
        <v/>
      </c>
      <c r="AF33" s="113" t="str">
        <f>IF(AND(ABS(May!E34)&gt;קריטריונים!$B$1,May!B34&gt;קריטריונים!$B$3),May!E34,"")</f>
        <v/>
      </c>
      <c r="AG33" s="113" t="str">
        <f>IF(AND(ABS(Apr!K34)&gt;קריטריונים!$B$2,Apr!B34&gt;קריטריונים!$B$3),Apr!K34,"")</f>
        <v/>
      </c>
      <c r="AH33" s="113" t="str">
        <f>IF(AND(ABS(Apr!J34)&gt;קריטריונים!$B$2,Apr!B34&gt;קריטריונים!$B$3),Apr!J34,"")</f>
        <v/>
      </c>
      <c r="AI33" s="113" t="str">
        <f>IF(AND(ABS(Apr!F34)&gt;קריטריונים!$B$1,Apr!B34&gt;קריטריונים!$B$3),Apr!F34,"")</f>
        <v/>
      </c>
      <c r="AJ33" s="113" t="str">
        <f>IF(AND(ABS(Apr!E34)&gt;קריטריונים!$B$1,Apr!B34&gt;קריטריונים!$B$3),Apr!E34,"")</f>
        <v/>
      </c>
      <c r="AK33" s="113" t="str">
        <f>IF(AND(ABS(Mar!K34)&gt;קריטריונים!$B$2,Mar!B34&gt;קריטריונים!$B$3),Mar!K34,"")</f>
        <v/>
      </c>
      <c r="AL33" s="113" t="str">
        <f>IF(AND(ABS(Mar!J34)&gt;קריטריונים!$B$2,Mar!B34&gt;קריטריונים!$B$3),Mar!J34,"")</f>
        <v/>
      </c>
      <c r="AM33" s="113" t="str">
        <f>IF(AND(ABS(Mar!F34)&gt;קריטריונים!$B$1,Mar!B34&gt;קריטריונים!$B$3),Mar!F34,"")</f>
        <v/>
      </c>
      <c r="AN33" s="113" t="str">
        <f>IF(AND(ABS(Mar!E34)&gt;קריטריונים!$B$1,Mar!B34&gt;קריטריונים!$B$3),Mar!E34,"")</f>
        <v/>
      </c>
      <c r="AO33" s="113" t="str">
        <f>IF(AND(ABS(Feb!K34)&gt;קריטריונים!$B$2,Feb!B34&gt;קריטריונים!$B$3),Feb!K34,"")</f>
        <v/>
      </c>
      <c r="AP33" s="113" t="str">
        <f>IF(AND(ABS(Feb!J34)&gt;קריטריונים!$B$2,Feb!B34&gt;קריטריונים!$B$3),Feb!J34,"")</f>
        <v/>
      </c>
      <c r="AQ33" s="113" t="str">
        <f>IF(AND(ABS(Feb!F34)&gt;קריטריונים!$B$1,Feb!B34&gt;קריטריונים!$B$3),Feb!F34,"")</f>
        <v/>
      </c>
      <c r="AR33" s="113" t="str">
        <f>IF(AND(ABS(Feb!E34)&gt;קריטריונים!$B$1,Feb!B34&gt;קריטריונים!$B$3),Feb!E34,"")</f>
        <v/>
      </c>
      <c r="AS33" s="113" t="str">
        <f>IF(AND(ABS(Jan!F34)&gt;קריטריונים!$B$1,Jan!B34&gt;קריטריונים!$B$3),Jan!F34,"")</f>
        <v/>
      </c>
      <c r="AT33" s="103" t="str">
        <f>IF(AND(ABS(Jan!E34)&gt;קריטריונים!$B$1,Jan!B34&gt;קריטריונים!$B$3),Jan!E34,"")</f>
        <v/>
      </c>
      <c r="AU33" s="119"/>
      <c r="AV33" s="4"/>
    </row>
    <row r="34" spans="1:48">
      <c r="A34" s="112" t="str">
        <f>IF(AND(ABS(Dec!K35)&gt;קריטריונים!$B$2,Dec!B35&gt;קריטריונים!$B$3),Dec!K35,"")</f>
        <v/>
      </c>
      <c r="B34" s="113" t="str">
        <f>IF(AND(ABS(Dec!J35)&gt;קריטריונים!$B$2,Dec!B35&gt;קריטריונים!$B$3),Dec!J35,"")</f>
        <v/>
      </c>
      <c r="C34" s="113" t="str">
        <f>IF(AND(ABS(Dec!F35)&gt;קריטריונים!$B$1,Dec!B35&gt;קריטריונים!$B$3),Dec!F35,"")</f>
        <v/>
      </c>
      <c r="D34" s="113" t="str">
        <f>IF(AND(ABS(Dec!E35)&gt;קריטריונים!$B$1,Dec!B35&gt;קריטריונים!$B$3),Dec!E35,"")</f>
        <v/>
      </c>
      <c r="E34" s="113">
        <f>IF(AND(ABS(Nov!K35)&gt;קריטריונים!$B$2,Nov!B35&gt;קריטריונים!$B$3),Nov!K35,"")</f>
        <v>0.21951219512195119</v>
      </c>
      <c r="F34" s="113">
        <f>IF(AND(ABS(Nov!J35)&gt;קריטריונים!$B$2,Nov!B35&gt;קריטריונים!$B$3),Nov!J35,"")</f>
        <v>0.22571017231532098</v>
      </c>
      <c r="G34" s="113">
        <f>IF(AND(ABS(Nov!F35)&gt;קריטריונים!$B$1,Nov!B35&gt;קריטריונים!$B$3),Nov!F35,"")</f>
        <v>0.75629783567337405</v>
      </c>
      <c r="H34" s="113">
        <f>IF(AND(ABS(Nov!E35)&gt;קריטריונים!$B$1,Nov!B35&gt;קריטריונים!$B$3),Nov!E35,"")</f>
        <v>0.25486645540968733</v>
      </c>
      <c r="I34" s="113">
        <f>IF(AND(ABS(Oct!K35)&gt;קריטריונים!$B$2,Oct!B35&gt;קריטריונים!$B$3),Oct!K35,"")</f>
        <v>0.17441924829787636</v>
      </c>
      <c r="J34" s="113">
        <f>IF(AND(ABS(Oct!J35)&gt;קריטריונים!$B$2,Oct!B35&gt;קריטריונים!$B$3),Oct!J35,"")</f>
        <v>0.22214287455034598</v>
      </c>
      <c r="K34" s="113">
        <f>IF(AND(ABS(Oct!F35)&gt;קריטריונים!$B$1,Oct!B35&gt;קריטריונים!$B$3),Oct!F35,"")</f>
        <v>0.42545810354029512</v>
      </c>
      <c r="L34" s="113">
        <f>IF(AND(ABS(Oct!E35)&gt;קריטריונים!$B$1,Oct!B35&gt;קריטריונים!$B$3),Oct!E35,"")</f>
        <v>0.52746336232574742</v>
      </c>
      <c r="M34" s="113">
        <f>IF(AND(ABS(Sep!K35)&gt;קריטריונים!$B$2,Sep!B35&gt;קריטריונים!$B$3),Sep!K35,"")</f>
        <v>0.13768558063860081</v>
      </c>
      <c r="N34" s="113">
        <f>IF(AND(ABS(Sep!J35)&gt;קריטריונים!$B$2,Sep!B35&gt;קריטריונים!$B$3),Sep!J35,"")</f>
        <v>0.17893810427427237</v>
      </c>
      <c r="O34" s="113">
        <f>IF(AND(ABS(Sep!F35)&gt;קריטריונים!$B$1,Sep!B35&gt;קריטריונים!$B$3),Sep!F35,"")</f>
        <v>0.22624064025222035</v>
      </c>
      <c r="P34" s="113">
        <f>IF(AND(ABS(Sep!E35)&gt;קריטריונים!$B$1,Sep!B35&gt;קריטריונים!$B$3),Sep!E35,"")</f>
        <v>3.8404271705087867E-2</v>
      </c>
      <c r="Q34" s="113">
        <f>IF(AND(ABS(Aug!K35)&gt;קריטריונים!$B$2,Aug!B35&gt;קריטריונים!$B$3),Aug!K35,"")</f>
        <v>0.12703704176243202</v>
      </c>
      <c r="R34" s="113">
        <f>IF(AND(ABS(Aug!J35)&gt;קריטריונים!$B$2,Aug!B35&gt;קריטריונים!$B$3),Aug!J35,"")</f>
        <v>0.20018904894213141</v>
      </c>
      <c r="S34" s="113">
        <f>IF(AND(ABS(Aug!F35)&gt;קריטריונים!$B$1,Aug!B35&gt;קריטריונים!$B$3),Aug!F35,"")</f>
        <v>2.8399815397756045E-2</v>
      </c>
      <c r="T34" s="113">
        <f>IF(AND(ABS(Aug!E35)&gt;קריטריונים!$B$1,Aug!B35&gt;קריטריונים!$B$3),Aug!E35,"")</f>
        <v>0.12297011680995262</v>
      </c>
      <c r="U34" s="113">
        <f>IF(AND(ABS(Jul!K35)&gt;קריטריונים!$B$2,Jul!B35&gt;קריטריונים!$B$3),Jul!K35,"")</f>
        <v>-9.0239514737053828E-3</v>
      </c>
      <c r="V34" s="113">
        <f>IF(AND(ABS(Jul!J35)&gt;קריטריונים!$B$2,Jul!B35&gt;קריטריונים!$B$3),Jul!J35,"")</f>
        <v>0.21162824384101975</v>
      </c>
      <c r="W34" s="113">
        <f>IF(AND(ABS(Jul!F35)&gt;קריטריונים!$B$1,Jul!B35&gt;קריטריונים!$B$3),Jul!F35,"")</f>
        <v>1.4164663335179073E-2</v>
      </c>
      <c r="X34" s="113">
        <f>IF(AND(ABS(Jul!E35)&gt;קריטריונים!$B$1,Jul!B35&gt;קריטריונים!$B$3),Jul!E35,"")</f>
        <v>0.13276968842962278</v>
      </c>
      <c r="Y34" s="113">
        <f>IF(AND(ABS(Jun!K35)&gt;קריטריונים!$B$2,Jun!B35&gt;קריטריונים!$B$3),Jun!K35,"")</f>
        <v>1.9411753892137229E-2</v>
      </c>
      <c r="Z34" s="113">
        <f>IF(AND(ABS(Jun!J35)&gt;קריטריונים!$B$2,Jun!B35&gt;קריטריונים!$B$3),Jun!J35,"")</f>
        <v>0.22471515986125001</v>
      </c>
      <c r="AA34" s="113">
        <f>IF(AND(ABS(Jun!F35)&gt;קריטריונים!$B$1,Jun!B35&gt;קריטריונים!$B$3),Jun!F35,"")</f>
        <v>0.19344900275660759</v>
      </c>
      <c r="AB34" s="113">
        <f>IF(AND(ABS(Jun!E35)&gt;קריטריונים!$B$1,Jun!B35&gt;קריטריונים!$B$3),Jun!E35,"")</f>
        <v>0.21874482530220218</v>
      </c>
      <c r="AC34" s="113">
        <f>IF(AND(ABS(May!K35)&gt;קריטריונים!$B$2,May!B35&gt;קריטריונים!$B$3),May!K35,"")</f>
        <v>0.15944183551812685</v>
      </c>
      <c r="AD34" s="113">
        <f>IF(AND(ABS(May!J35)&gt;קריטריונים!$B$2,May!B35&gt;קריטריונים!$B$3),May!J35,"")</f>
        <v>0.2258263348486016</v>
      </c>
      <c r="AE34" s="113">
        <f>IF(AND(ABS(May!F35)&gt;קריטריונים!$B$1,May!B35&gt;קריטריונים!$B$3),May!F35,"")</f>
        <v>0.11986675947101499</v>
      </c>
      <c r="AF34" s="113">
        <f>IF(AND(ABS(May!E35)&gt;קריטריונים!$B$1,May!B35&gt;קריטריונים!$B$3),May!E35,"")</f>
        <v>0.15487650127536301</v>
      </c>
      <c r="AG34" s="113">
        <f>IF(AND(ABS(Apr!K35)&gt;קריטריונים!$B$2,Apr!B35&gt;קריטריונים!$B$3),Apr!K35,"")</f>
        <v>0.17156707807019855</v>
      </c>
      <c r="AH34" s="113">
        <f>IF(AND(ABS(Apr!J35)&gt;קריטריונים!$B$2,Apr!B35&gt;קריטריונים!$B$3),Apr!J35,"")</f>
        <v>0.24828571196715044</v>
      </c>
      <c r="AI34" s="113">
        <f>IF(AND(ABS(Apr!F35)&gt;קריטריונים!$B$1,Apr!B35&gt;קריטריונים!$B$3),Apr!F35,"")</f>
        <v>0.17459388430795353</v>
      </c>
      <c r="AJ34" s="113">
        <f>IF(AND(ABS(Apr!E35)&gt;קריטריונים!$B$1,Apr!B35&gt;קריטריונים!$B$3),Apr!E35,"")</f>
        <v>0.34566586465769999</v>
      </c>
      <c r="AK34" s="113">
        <f>IF(AND(ABS(Mar!K35)&gt;קריטריונים!$B$2,Mar!B35&gt;קריטריונים!$B$3),Mar!K35,"")</f>
        <v>0.17006391751989747</v>
      </c>
      <c r="AL34" s="113">
        <f>IF(AND(ABS(Mar!J35)&gt;קריטריונים!$B$2,Mar!B35&gt;קריטריונים!$B$3),Mar!J35,"")</f>
        <v>0.20481927710843384</v>
      </c>
      <c r="AM34" s="113">
        <f>IF(AND(ABS(Mar!F35)&gt;קריטריונים!$B$1,Mar!B35&gt;קריטריונים!$B$3),Mar!F35,"")</f>
        <v>0.14163887074034598</v>
      </c>
      <c r="AN34" s="113">
        <f>IF(AND(ABS(Mar!E35)&gt;קריטריונים!$B$1,Mar!B35&gt;קריטריונים!$B$3),Mar!E35,"")</f>
        <v>0.16398925764130889</v>
      </c>
      <c r="AO34" s="113">
        <f>IF(AND(ABS(Feb!K35)&gt;קריטריונים!$B$2,Feb!B35&gt;קריטריונים!$B$3),Feb!K35,"")</f>
        <v>0.19017497421125351</v>
      </c>
      <c r="AP34" s="113">
        <f>IF(AND(ABS(Feb!J35)&gt;קריטריונים!$B$2,Feb!B35&gt;קריטריונים!$B$3),Feb!J35,"")</f>
        <v>0.23420036834271007</v>
      </c>
      <c r="AQ34" s="113">
        <f>IF(AND(ABS(Feb!F35)&gt;קריטריונים!$B$1,Feb!B35&gt;קריטריונים!$B$3),Feb!F35,"")</f>
        <v>0.20512775237052594</v>
      </c>
      <c r="AR34" s="113">
        <f>IF(AND(ABS(Feb!E35)&gt;קריטריונים!$B$1,Feb!B35&gt;קריטריונים!$B$3),Feb!E35,"")</f>
        <v>0.21061080414711797</v>
      </c>
      <c r="AS34" s="113">
        <f>IF(AND(ABS(Jan!F35)&gt;קריטריונים!$B$1,Jan!B35&gt;קריטריונים!$B$3),Jan!F35,"")</f>
        <v>0.17181571815718155</v>
      </c>
      <c r="AT34" s="103">
        <f>IF(AND(ABS(Jan!E35)&gt;קריטריונים!$B$1,Jan!B35&gt;קריטריונים!$B$3),Jan!E35,"")</f>
        <v>0.26533383275587585</v>
      </c>
      <c r="AU34" s="118" t="s">
        <v>26</v>
      </c>
      <c r="AV34" s="4"/>
    </row>
    <row r="35" spans="1:48">
      <c r="A35" s="112" t="str">
        <f>IF(AND(ABS(Dec!K36)&gt;קריטריונים!$B$2,Dec!B36&gt;קריטריונים!$B$3),Dec!K36,"")</f>
        <v/>
      </c>
      <c r="B35" s="113" t="str">
        <f>IF(AND(ABS(Dec!J36)&gt;קריטריונים!$B$2,Dec!B36&gt;קריטריונים!$B$3),Dec!J36,"")</f>
        <v/>
      </c>
      <c r="C35" s="113" t="str">
        <f>IF(AND(ABS(Dec!F36)&gt;קריטריונים!$B$1,Dec!B36&gt;קריטריונים!$B$3),Dec!F36,"")</f>
        <v/>
      </c>
      <c r="D35" s="113" t="str">
        <f>IF(AND(ABS(Dec!E36)&gt;קריטריונים!$B$1,Dec!B36&gt;קריטריונים!$B$3),Dec!E36,"")</f>
        <v/>
      </c>
      <c r="E35" s="113">
        <f>IF(AND(ABS(Nov!K36)&gt;קריטריונים!$B$2,Nov!B36&gt;קריטריונים!$B$3),Nov!K36,"")</f>
        <v>6.9049061175045168E-2</v>
      </c>
      <c r="F35" s="113">
        <f>IF(AND(ABS(Nov!J36)&gt;קריטריונים!$B$2,Nov!B36&gt;קריטריונים!$B$3),Nov!J36,"")</f>
        <v>0.15779461445111331</v>
      </c>
      <c r="G35" s="113">
        <f>IF(AND(ABS(Nov!F36)&gt;קריטריונים!$B$1,Nov!B36&gt;קריטריונים!$B$3),Nov!F36,"")</f>
        <v>0.43993937097385372</v>
      </c>
      <c r="H35" s="113">
        <f>IF(AND(ABS(Nov!E36)&gt;קריטריונים!$B$1,Nov!B36&gt;קריטריונים!$B$3),Nov!E36,"")</f>
        <v>0.18472330475448162</v>
      </c>
      <c r="I35" s="113">
        <f>IF(AND(ABS(Oct!K36)&gt;קריטריונים!$B$2,Oct!B36&gt;קריטריונים!$B$3),Oct!K36,"")</f>
        <v>3.6832230670484911E-2</v>
      </c>
      <c r="J35" s="113">
        <f>IF(AND(ABS(Oct!J36)&gt;קריטריונים!$B$2,Oct!B36&gt;קריטריונים!$B$3),Oct!J36,"")</f>
        <v>0.15462859446877908</v>
      </c>
      <c r="K35" s="113">
        <f>IF(AND(ABS(Oct!F36)&gt;קריטריונים!$B$1,Oct!B36&gt;קריטריונים!$B$3),Oct!F36,"")</f>
        <v>0.2117658555653279</v>
      </c>
      <c r="L35" s="113">
        <f>IF(AND(ABS(Oct!E36)&gt;קריטריונים!$B$1,Oct!B36&gt;קריטריונים!$B$3),Oct!E36,"")</f>
        <v>0.4514807444691562</v>
      </c>
      <c r="M35" s="113">
        <f>IF(AND(ABS(Sep!K36)&gt;קריטריונים!$B$2,Sep!B36&gt;קריטריונים!$B$3),Sep!K36,"")</f>
        <v>1.4051336856062413E-3</v>
      </c>
      <c r="N35" s="113">
        <f>IF(AND(ABS(Sep!J36)&gt;קריטריונים!$B$2,Sep!B36&gt;קריטריונים!$B$3),Sep!J36,"")</f>
        <v>9.9521946979574061E-2</v>
      </c>
      <c r="O35" s="113">
        <f>IF(AND(ABS(Sep!F36)&gt;קריטריונים!$B$1,Sep!B36&gt;קריטריונים!$B$3),Sep!F36,"")</f>
        <v>-0.10202817773649164</v>
      </c>
      <c r="P35" s="113">
        <f>IF(AND(ABS(Sep!E36)&gt;קריטריונים!$B$1,Sep!B36&gt;קריטריונים!$B$3),Sep!E36,"")</f>
        <v>4.7687861271676457E-2</v>
      </c>
      <c r="Q35" s="113">
        <f>IF(AND(ABS(Aug!K36)&gt;קריטריונים!$B$2,Aug!B36&gt;קריטריונים!$B$3),Aug!K36,"")</f>
        <v>1.6564556387565377E-2</v>
      </c>
      <c r="R35" s="113">
        <f>IF(AND(ABS(Aug!J36)&gt;קריטריונים!$B$2,Aug!B36&gt;קריטריונים!$B$3),Aug!J36,"")</f>
        <v>0.10661001877284848</v>
      </c>
      <c r="S35" s="113">
        <f>IF(AND(ABS(Aug!F36)&gt;קריטריונים!$B$1,Aug!B36&gt;קריטריונים!$B$3),Aug!F36,"")</f>
        <v>-0.14421553090332795</v>
      </c>
      <c r="T35" s="113">
        <f>IF(AND(ABS(Aug!E36)&gt;קריטריונים!$B$1,Aug!B36&gt;קריטריונים!$B$3),Aug!E36,"")</f>
        <v>0.13827993254637461</v>
      </c>
      <c r="U35" s="113">
        <f>IF(AND(ABS(Jul!K36)&gt;קריטריונים!$B$2,Jul!B36&gt;קריטריונים!$B$3),Jul!K36,"")</f>
        <v>-4.4701611073292513E-2</v>
      </c>
      <c r="V35" s="113">
        <f>IF(AND(ABS(Jul!J36)&gt;קריטריונים!$B$2,Jul!B36&gt;קריטריונים!$B$3),Jul!J36,"")</f>
        <v>0.10463895885810248</v>
      </c>
      <c r="W35" s="113">
        <f>IF(AND(ABS(Jul!F36)&gt;קריטריונים!$B$1,Jul!B36&gt;קריטריונים!$B$3),Jul!F36,"")</f>
        <v>-2.5359256128486551E-3</v>
      </c>
      <c r="X35" s="113">
        <f>IF(AND(ABS(Jul!E36)&gt;קריטריונים!$B$1,Jul!B36&gt;קריטריונים!$B$3),Jul!E36,"")</f>
        <v>0.23405145367078029</v>
      </c>
      <c r="Y35" s="113">
        <f>IF(AND(ABS(Jun!K36)&gt;קריטריונים!$B$2,Jun!B36&gt;קריטריונים!$B$3),Jun!K36,"")</f>
        <v>1.8198182994402901E-2</v>
      </c>
      <c r="Z35" s="113">
        <f>IF(AND(ABS(Jun!J36)&gt;קריטריונים!$B$2,Jun!B36&gt;קריטריונים!$B$3),Jun!J36,"")</f>
        <v>8.6076025321772498E-2</v>
      </c>
      <c r="AA35" s="113">
        <f>IF(AND(ABS(Jun!F36)&gt;קריטריונים!$B$1,Jun!B36&gt;קריטריונים!$B$3),Jun!F36,"")</f>
        <v>5.9201815774541533E-2</v>
      </c>
      <c r="AB35" s="113">
        <f>IF(AND(ABS(Jun!E36)&gt;קריטריונים!$B$1,Jun!B36&gt;קריטריונים!$B$3),Jun!E36,"")</f>
        <v>0.18143459915611815</v>
      </c>
      <c r="AC35" s="113">
        <f>IF(AND(ABS(May!K36)&gt;קריטריונים!$B$2,May!B36&gt;קריטריונים!$B$3),May!K36,"")</f>
        <v>2.9852253222495184E-2</v>
      </c>
      <c r="AD35" s="113">
        <f>IF(AND(ABS(May!J36)&gt;קריטריונים!$B$2,May!B36&gt;קריטריונים!$B$3),May!J36,"")</f>
        <v>7.026686719597075E-2</v>
      </c>
      <c r="AE35" s="113">
        <f>IF(AND(ABS(May!F36)&gt;קריטריונים!$B$1,May!B36&gt;קריטריונים!$B$3),May!F36,"")</f>
        <v>-0.12335629304946782</v>
      </c>
      <c r="AF35" s="113">
        <f>IF(AND(ABS(May!E36)&gt;קריטריונים!$B$1,May!B36&gt;קריטריונים!$B$3),May!E36,"")</f>
        <v>0.12359550561797739</v>
      </c>
      <c r="AG35" s="113">
        <f>IF(AND(ABS(Apr!K36)&gt;קריטריונים!$B$2,Apr!B36&gt;קריטריונים!$B$3),Apr!K36,"")</f>
        <v>7.1811361200428747E-2</v>
      </c>
      <c r="AH35" s="113">
        <f>IF(AND(ABS(Apr!J36)&gt;קריטריונים!$B$2,Apr!B36&gt;קריטריונים!$B$3),Apr!J36,"")</f>
        <v>5.9007921379252037E-2</v>
      </c>
      <c r="AI35" s="113">
        <f>IF(AND(ABS(Apr!F36)&gt;קריטריונים!$B$1,Apr!B36&gt;קריטריונים!$B$3),Apr!F36,"")</f>
        <v>0.1049723756906078</v>
      </c>
      <c r="AJ35" s="113">
        <f>IF(AND(ABS(Apr!E36)&gt;קריטריונים!$B$1,Apr!B36&gt;קריטריונים!$B$3),Apr!E36,"")</f>
        <v>0.42614601018675735</v>
      </c>
      <c r="AK35" s="113">
        <f>IF(AND(ABS(Mar!K36)&gt;קריטריונים!$B$2,Mar!B36&gt;קריטריונים!$B$3),Mar!K36,"")</f>
        <v>5.5778159384341386E-2</v>
      </c>
      <c r="AL35" s="113">
        <f>IF(AND(ABS(Mar!J36)&gt;קריטריונים!$B$2,Mar!B36&gt;קריטריונים!$B$3),Mar!J36,"")</f>
        <v>-6.3046791217474807E-2</v>
      </c>
      <c r="AM35" s="113">
        <f>IF(AND(ABS(Mar!F36)&gt;קריטריונים!$B$1,Mar!B36&gt;קריטריונים!$B$3),Mar!F36,"")</f>
        <v>-9.5136357923840564E-2</v>
      </c>
      <c r="AN35" s="113">
        <f>IF(AND(ABS(Mar!E36)&gt;קריטריונים!$B$1,Mar!B36&gt;קריטריונים!$B$3),Mar!E36,"")</f>
        <v>-0.1910112359550562</v>
      </c>
      <c r="AO35" s="113">
        <f>IF(AND(ABS(Feb!K36)&gt;קריטריונים!$B$2,Feb!B36&gt;קריטריונים!$B$3),Feb!K36,"")</f>
        <v>0.2104043265516351</v>
      </c>
      <c r="AP35" s="113">
        <f>IF(AND(ABS(Feb!J36)&gt;קריטריונים!$B$2,Feb!B36&gt;קריטריונים!$B$3),Feb!J36,"")</f>
        <v>6.6122263808551462E-2</v>
      </c>
      <c r="AQ35" s="113">
        <f>IF(AND(ABS(Feb!F36)&gt;קריטריונים!$B$1,Feb!B36&gt;קריטריונים!$B$3),Feb!F36,"")</f>
        <v>0.15440115440115432</v>
      </c>
      <c r="AR35" s="113">
        <f>IF(AND(ABS(Feb!E36)&gt;קריטריונים!$B$1,Feb!B36&gt;קריטריונים!$B$3),Feb!E36,"")</f>
        <v>7.7130217349490326E-2</v>
      </c>
      <c r="AS35" s="113">
        <f>IF(AND(ABS(Jan!F36)&gt;קריטריונים!$B$1,Jan!B36&gt;קריטריונים!$B$3),Jan!F36,"")</f>
        <v>0.3036020583190393</v>
      </c>
      <c r="AT35" s="103">
        <f>IF(AND(ABS(Jan!E36)&gt;קריטריונים!$B$1,Jan!B36&gt;קריטריונים!$B$3),Jan!E36,"")</f>
        <v>5.0304035378662126E-2</v>
      </c>
      <c r="AU35" s="118" t="s">
        <v>27</v>
      </c>
      <c r="AV35" s="4"/>
    </row>
    <row r="36" spans="1:48">
      <c r="A36" s="112" t="str">
        <f>IF(AND(ABS(Dec!K37)&gt;קריטריונים!$B$2,Dec!B37&gt;קריטריונים!$B$3),Dec!K37,"")</f>
        <v/>
      </c>
      <c r="B36" s="113" t="str">
        <f>IF(AND(ABS(Dec!J37)&gt;קריטריונים!$B$2,Dec!B37&gt;קריטריונים!$B$3),Dec!J37,"")</f>
        <v/>
      </c>
      <c r="C36" s="113" t="str">
        <f>IF(AND(ABS(Dec!F37)&gt;קריטריונים!$B$1,Dec!B37&gt;קריטריונים!$B$3),Dec!F37,"")</f>
        <v/>
      </c>
      <c r="D36" s="113" t="str">
        <f>IF(AND(ABS(Dec!E37)&gt;קריטריונים!$B$1,Dec!B37&gt;קריטריונים!$B$3),Dec!E37,"")</f>
        <v/>
      </c>
      <c r="E36" s="113">
        <f>IF(AND(ABS(Nov!K37)&gt;קריטריונים!$B$2,Nov!B37&gt;קריטריונים!$B$3),Nov!K37,"")</f>
        <v>0.23868927347799374</v>
      </c>
      <c r="F36" s="113">
        <f>IF(AND(ABS(Nov!J37)&gt;קריטריונים!$B$2,Nov!B37&gt;קריטריונים!$B$3),Nov!J37,"")</f>
        <v>0.12944569048381949</v>
      </c>
      <c r="G36" s="113">
        <f>IF(AND(ABS(Nov!F37)&gt;קריטריונים!$B$1,Nov!B37&gt;קריטריונים!$B$3),Nov!F37,"")</f>
        <v>0.29032258064516125</v>
      </c>
      <c r="H36" s="113">
        <f>IF(AND(ABS(Nov!E37)&gt;קריטריונים!$B$1,Nov!B37&gt;קריטריונים!$B$3),Nov!E37,"")</f>
        <v>-4.7114875595553163E-2</v>
      </c>
      <c r="I36" s="113">
        <f>IF(AND(ABS(Oct!K37)&gt;קריטריונים!$B$2,Oct!B37&gt;קריטריונים!$B$3),Oct!K37,"")</f>
        <v>0.2314777733279938</v>
      </c>
      <c r="J36" s="113">
        <f>IF(AND(ABS(Oct!J37)&gt;קריטריונים!$B$2,Oct!B37&gt;קריטריונים!$B$3),Oct!J37,"")</f>
        <v>0.1609249646059463</v>
      </c>
      <c r="K36" s="113">
        <f>IF(AND(ABS(Oct!F37)&gt;קריטריונים!$B$1,Oct!B37&gt;קריטריונים!$B$3),Oct!F37,"")</f>
        <v>0.10943015632879471</v>
      </c>
      <c r="L36" s="113">
        <f>IF(AND(ABS(Oct!E37)&gt;קריטריונים!$B$1,Oct!B37&gt;קריטריונים!$B$3),Oct!E37,"")</f>
        <v>0.44546649145860728</v>
      </c>
      <c r="M36" s="113" t="str">
        <f>IF(AND(ABS(Sep!K37)&gt;קריטריונים!$B$2,Sep!B37&gt;קריטריונים!$B$3),Sep!K37,"")</f>
        <v/>
      </c>
      <c r="N36" s="113" t="str">
        <f>IF(AND(ABS(Sep!J37)&gt;קריטריונים!$B$2,Sep!B37&gt;קריטריונים!$B$3),Sep!J37,"")</f>
        <v/>
      </c>
      <c r="O36" s="113" t="str">
        <f>IF(AND(ABS(Sep!F37)&gt;קריטריונים!$B$1,Sep!B37&gt;קריטריונים!$B$3),Sep!F37,"")</f>
        <v/>
      </c>
      <c r="P36" s="113" t="str">
        <f>IF(AND(ABS(Sep!E37)&gt;קריטריונים!$B$1,Sep!B37&gt;קריטריונים!$B$3),Sep!E37,"")</f>
        <v/>
      </c>
      <c r="Q36" s="113" t="str">
        <f>IF(AND(ABS(Aug!K37)&gt;קריטריונים!$B$2,Aug!B37&gt;קריטריונים!$B$3),Aug!K37,"")</f>
        <v/>
      </c>
      <c r="R36" s="113" t="str">
        <f>IF(AND(ABS(Aug!J37)&gt;קריטריונים!$B$2,Aug!B37&gt;קריטריונים!$B$3),Aug!J37,"")</f>
        <v/>
      </c>
      <c r="S36" s="113" t="str">
        <f>IF(AND(ABS(Aug!F37)&gt;קריטריונים!$B$1,Aug!B37&gt;קריטריונים!$B$3),Aug!F37,"")</f>
        <v/>
      </c>
      <c r="T36" s="113" t="str">
        <f>IF(AND(ABS(Aug!E37)&gt;קריטריונים!$B$1,Aug!B37&gt;קריטריונים!$B$3),Aug!E37,"")</f>
        <v/>
      </c>
      <c r="U36" s="113" t="str">
        <f>IF(AND(ABS(Jul!K37)&gt;קריטריונים!$B$2,Jul!B37&gt;קריטריונים!$B$3),Jul!K37,"")</f>
        <v/>
      </c>
      <c r="V36" s="113" t="str">
        <f>IF(AND(ABS(Jul!J37)&gt;קריטריונים!$B$2,Jul!B37&gt;קריטריונים!$B$3),Jul!J37,"")</f>
        <v/>
      </c>
      <c r="W36" s="113" t="str">
        <f>IF(AND(ABS(Jul!F37)&gt;קריטריונים!$B$1,Jul!B37&gt;קריטריונים!$B$3),Jul!F37,"")</f>
        <v/>
      </c>
      <c r="X36" s="113" t="str">
        <f>IF(AND(ABS(Jul!E37)&gt;קריטריונים!$B$1,Jul!B37&gt;קריטריונים!$B$3),Jul!E37,"")</f>
        <v/>
      </c>
      <c r="Y36" s="113" t="str">
        <f>IF(AND(ABS(Jun!K37)&gt;קריטריונים!$B$2,Jun!B37&gt;קריטריונים!$B$3),Jun!K37,"")</f>
        <v/>
      </c>
      <c r="Z36" s="113" t="str">
        <f>IF(AND(ABS(Jun!J37)&gt;קריטריונים!$B$2,Jun!B37&gt;קריטריונים!$B$3),Jun!J37,"")</f>
        <v/>
      </c>
      <c r="AA36" s="113" t="str">
        <f>IF(AND(ABS(Jun!F37)&gt;קריטריונים!$B$1,Jun!B37&gt;קריטריונים!$B$3),Jun!F37,"")</f>
        <v/>
      </c>
      <c r="AB36" s="113" t="str">
        <f>IF(AND(ABS(Jun!E37)&gt;קריטריונים!$B$1,Jun!B37&gt;קריטריונים!$B$3),Jun!E37,"")</f>
        <v/>
      </c>
      <c r="AC36" s="113" t="str">
        <f>IF(AND(ABS(May!K37)&gt;קריטריונים!$B$2,May!B37&gt;קריטריונים!$B$3),May!K37,"")</f>
        <v/>
      </c>
      <c r="AD36" s="113" t="str">
        <f>IF(AND(ABS(May!J37)&gt;קריטריונים!$B$2,May!B37&gt;קריטריונים!$B$3),May!J37,"")</f>
        <v/>
      </c>
      <c r="AE36" s="113" t="str">
        <f>IF(AND(ABS(May!F37)&gt;קריטריונים!$B$1,May!B37&gt;קריטריונים!$B$3),May!F37,"")</f>
        <v/>
      </c>
      <c r="AF36" s="113" t="str">
        <f>IF(AND(ABS(May!E37)&gt;קריטריונים!$B$1,May!B37&gt;קריטריונים!$B$3),May!E37,"")</f>
        <v/>
      </c>
      <c r="AG36" s="113">
        <f>IF(AND(ABS(Apr!K37)&gt;קריטריונים!$B$2,Apr!B37&gt;קריטריונים!$B$3),Apr!K37,"")</f>
        <v>0.43723332584774344</v>
      </c>
      <c r="AH36" s="113">
        <f>IF(AND(ABS(Apr!J37)&gt;קריטריונים!$B$2,Apr!B37&gt;קריטריונים!$B$3),Apr!J37,"")</f>
        <v>0.10726643598615926</v>
      </c>
      <c r="AI36" s="113">
        <f>IF(AND(ABS(Apr!F37)&gt;קריטריונים!$B$1,Apr!B37&gt;קריטריונים!$B$3),Apr!F37,"")</f>
        <v>0.23188405797101463</v>
      </c>
      <c r="AJ36" s="113">
        <f>IF(AND(ABS(Apr!E37)&gt;קריטריונים!$B$1,Apr!B37&gt;קריטריונים!$B$3),Apr!E37,"")</f>
        <v>0.35350318471337583</v>
      </c>
      <c r="AK36" s="113">
        <f>IF(AND(ABS(Mar!K37)&gt;קריטריונים!$B$2,Mar!B37&gt;קריטריונים!$B$3),Mar!K37,"")</f>
        <v>0.52945004881223579</v>
      </c>
      <c r="AL36" s="113">
        <f>IF(AND(ABS(Mar!J37)&gt;קריטריונים!$B$2,Mar!B37&gt;קריטריונים!$B$3),Mar!J37,"")</f>
        <v>3.89036251105217E-2</v>
      </c>
      <c r="AM36" s="113">
        <f>IF(AND(ABS(Mar!F37)&gt;קריטריונים!$B$1,Mar!B37&gt;קריטריונים!$B$3),Mar!F37,"")</f>
        <v>0.13122171945701355</v>
      </c>
      <c r="AN36" s="113">
        <f>IF(AND(ABS(Mar!E37)&gt;קריטריונים!$B$1,Mar!B37&gt;קריטריונים!$B$3),Mar!E37,"")</f>
        <v>-0.12049252418645562</v>
      </c>
      <c r="AO36" s="113">
        <f>IF(AND(ABS(Feb!K37)&gt;קריטריונים!$B$2,Feb!B37&gt;קריטריונים!$B$3),Feb!K37,"")</f>
        <v>1.0689655172413794</v>
      </c>
      <c r="AP36" s="113">
        <f>IF(AND(ABS(Feb!J37)&gt;קריטריונים!$B$2,Feb!B37&gt;קריטריונים!$B$3),Feb!J37,"")</f>
        <v>0.20000000000000018</v>
      </c>
      <c r="AQ36" s="113">
        <f>IF(AND(ABS(Feb!F37)&gt;קריטריונים!$B$1,Feb!B37&gt;קריטריונים!$B$3),Feb!F37,"")</f>
        <v>0.79977502812148482</v>
      </c>
      <c r="AR36" s="113">
        <f>IF(AND(ABS(Feb!E37)&gt;קריטריונים!$B$1,Feb!B37&gt;קריטריונים!$B$3),Feb!E37,"")</f>
        <v>0.20572720422004531</v>
      </c>
      <c r="AS36" s="113" t="str">
        <f>IF(AND(ABS(Jan!F37)&gt;קריטריונים!$B$1,Jan!B37&gt;קריטריונים!$B$3),Jan!F37,"")</f>
        <v/>
      </c>
      <c r="AT36" s="103" t="str">
        <f>IF(AND(ABS(Jan!E37)&gt;קריטריונים!$B$1,Jan!B37&gt;קריטריונים!$B$3),Jan!E37,"")</f>
        <v/>
      </c>
      <c r="AU36" s="118" t="s">
        <v>28</v>
      </c>
      <c r="AV36" s="4"/>
    </row>
    <row r="37" spans="1:48">
      <c r="A37" s="112" t="str">
        <f>IF(AND(ABS(Dec!K38)&gt;קריטריונים!$B$2,Dec!B38&gt;קריטריונים!$B$3),Dec!K38,"")</f>
        <v/>
      </c>
      <c r="B37" s="113" t="str">
        <f>IF(AND(ABS(Dec!J38)&gt;קריטריונים!$B$2,Dec!B38&gt;קריטריונים!$B$3),Dec!J38,"")</f>
        <v/>
      </c>
      <c r="C37" s="113" t="str">
        <f>IF(AND(ABS(Dec!F38)&gt;קריטריונים!$B$1,Dec!B38&gt;קריטריונים!$B$3),Dec!F38,"")</f>
        <v/>
      </c>
      <c r="D37" s="113" t="str">
        <f>IF(AND(ABS(Dec!E38)&gt;קריטריונים!$B$1,Dec!B38&gt;קריטריונים!$B$3),Dec!E38,"")</f>
        <v/>
      </c>
      <c r="E37" s="113">
        <f>IF(AND(ABS(Nov!K38)&gt;קריטריונים!$B$2,Nov!B38&gt;קריטריונים!$B$3),Nov!K38,"")</f>
        <v>0.11786363837998493</v>
      </c>
      <c r="F37" s="113">
        <f>IF(AND(ABS(Nov!J38)&gt;קריטריונים!$B$2,Nov!B38&gt;קריטריונים!$B$3),Nov!J38,"")</f>
        <v>0.27756653992395419</v>
      </c>
      <c r="G37" s="113">
        <f>IF(AND(ABS(Nov!F38)&gt;קריטריונים!$B$1,Nov!B38&gt;קריטריונים!$B$3),Nov!F38,"")</f>
        <v>0.83038438071995113</v>
      </c>
      <c r="H37" s="113">
        <f>IF(AND(ABS(Nov!E38)&gt;קריטריונים!$B$1,Nov!B38&gt;קריטריונים!$B$3),Nov!E38,"")</f>
        <v>0.47130946542422736</v>
      </c>
      <c r="I37" s="113">
        <f>IF(AND(ABS(Oct!K38)&gt;קריטריונים!$B$2,Oct!B38&gt;קריטריונים!$B$3),Oct!K38,"")</f>
        <v>6.1997703788748471E-2</v>
      </c>
      <c r="J37" s="113">
        <f>IF(AND(ABS(Oct!J38)&gt;קריטריונים!$B$2,Oct!B38&gt;קריטריונים!$B$3),Oct!J38,"")</f>
        <v>0.2552301255230125</v>
      </c>
      <c r="K37" s="113">
        <f>IF(AND(ABS(Oct!F38)&gt;קריטריונים!$B$1,Oct!B38&gt;קריטריונים!$B$3),Oct!F38,"")</f>
        <v>0.31337813072693943</v>
      </c>
      <c r="L37" s="113">
        <f>IF(AND(ABS(Oct!E38)&gt;קריטריונים!$B$1,Oct!B38&gt;קריטריונים!$B$3),Oct!E38,"")</f>
        <v>0.85584807941303387</v>
      </c>
      <c r="M37" s="113">
        <f>IF(AND(ABS(Sep!K38)&gt;קריטריונים!$B$2,Sep!B38&gt;קריטריונים!$B$3),Sep!K38,"")</f>
        <v>1.5314804310833763E-2</v>
      </c>
      <c r="N37" s="113">
        <f>IF(AND(ABS(Sep!J38)&gt;קריטריונים!$B$2,Sep!B38&gt;קריטריונים!$B$3),Sep!J38,"")</f>
        <v>0.16468215238467043</v>
      </c>
      <c r="O37" s="113">
        <f>IF(AND(ABS(Sep!F38)&gt;קריטריונים!$B$1,Sep!B38&gt;קריטריונים!$B$3),Sep!F38,"")</f>
        <v>-2.0088192062714283E-2</v>
      </c>
      <c r="P37" s="113">
        <f>IF(AND(ABS(Sep!E38)&gt;קריטריונים!$B$1,Sep!B38&gt;קריטריונים!$B$3),Sep!E38,"")</f>
        <v>-8.4283589489340116E-3</v>
      </c>
      <c r="Q37" s="113" t="str">
        <f>IF(AND(ABS(Aug!K38)&gt;קריטריונים!$B$2,Aug!B38&gt;קריטריונים!$B$3),Aug!K38,"")</f>
        <v/>
      </c>
      <c r="R37" s="113" t="str">
        <f>IF(AND(ABS(Aug!J38)&gt;קריטריונים!$B$2,Aug!B38&gt;קריטריונים!$B$3),Aug!J38,"")</f>
        <v/>
      </c>
      <c r="S37" s="113" t="str">
        <f>IF(AND(ABS(Aug!F38)&gt;קריטריונים!$B$1,Aug!B38&gt;קריטריונים!$B$3),Aug!F38,"")</f>
        <v/>
      </c>
      <c r="T37" s="113" t="str">
        <f>IF(AND(ABS(Aug!E38)&gt;קריטריונים!$B$1,Aug!B38&gt;קריטריונים!$B$3),Aug!E38,"")</f>
        <v/>
      </c>
      <c r="U37" s="113">
        <f>IF(AND(ABS(Jul!K38)&gt;קריטריונים!$B$2,Jul!B38&gt;קריטריונים!$B$3),Jul!K38,"")</f>
        <v>-5.0612611456796408E-2</v>
      </c>
      <c r="V37" s="113">
        <f>IF(AND(ABS(Jul!J38)&gt;קריטריונים!$B$2,Jul!B38&gt;קריטריונים!$B$3),Jul!J38,"")</f>
        <v>0.19133864605972817</v>
      </c>
      <c r="W37" s="113">
        <f>IF(AND(ABS(Jul!F38)&gt;קריטריונים!$B$1,Jul!B38&gt;קריטריונים!$B$3),Jul!F38,"")</f>
        <v>0.11561866125760667</v>
      </c>
      <c r="X37" s="113">
        <f>IF(AND(ABS(Jul!E38)&gt;קריטריונים!$B$1,Jul!B38&gt;קריטריונים!$B$3),Jul!E38,"")</f>
        <v>0.30718954248366015</v>
      </c>
      <c r="Y37" s="113">
        <f>IF(AND(ABS(Jun!K38)&gt;קריטריונים!$B$2,Jun!B38&gt;קריטריונים!$B$3),Jun!K38,"")</f>
        <v>-7.9358781049032601E-5</v>
      </c>
      <c r="Z37" s="113">
        <f>IF(AND(ABS(Jun!J38)&gt;קריטריונים!$B$2,Jun!B38&gt;קריטריונים!$B$3),Jun!J38,"")</f>
        <v>0.17318435754189965</v>
      </c>
      <c r="AA37" s="113">
        <f>IF(AND(ABS(Jun!F38)&gt;קריטריונים!$B$1,Jun!B38&gt;קריטריונים!$B$3),Jun!F38,"")</f>
        <v>9.6804959465903506E-2</v>
      </c>
      <c r="AB37" s="113">
        <f>IF(AND(ABS(Jun!E38)&gt;קריטריונים!$B$1,Jun!B38&gt;קריטריונים!$B$3),Jun!E38,"")</f>
        <v>0.24257158292814696</v>
      </c>
      <c r="AC37" s="113">
        <f>IF(AND(ABS(May!K38)&gt;קריטריונים!$B$2,May!B38&gt;קריטריונים!$B$3),May!K38,"")</f>
        <v>-1.4541929229276995E-3</v>
      </c>
      <c r="AD37" s="113">
        <f>IF(AND(ABS(May!J38)&gt;קריטריונים!$B$2,May!B38&gt;קריטריונים!$B$3),May!J38,"")</f>
        <v>0.15873551580605261</v>
      </c>
      <c r="AE37" s="113">
        <f>IF(AND(ABS(May!F38)&gt;קריטריונים!$B$1,May!B38&gt;קריטריונים!$B$3),May!F38,"")</f>
        <v>-1.1124845488257207E-2</v>
      </c>
      <c r="AF37" s="113">
        <f>IF(AND(ABS(May!E38)&gt;קריטריונים!$B$1,May!B38&gt;קריטריונים!$B$3),May!E38,"")</f>
        <v>0.17130307467057104</v>
      </c>
      <c r="AG37" s="113">
        <f>IF(AND(ABS(Apr!K38)&gt;קריטריונים!$B$2,Apr!B38&gt;קריטריונים!$B$3),Apr!K38,"")</f>
        <v>1.5212981744423537E-3</v>
      </c>
      <c r="AH37" s="113">
        <f>IF(AND(ABS(Apr!J38)&gt;קריטריונים!$B$2,Apr!B38&gt;קריטריונים!$B$3),Apr!J38,"")</f>
        <v>0.15497076023391831</v>
      </c>
      <c r="AI37" s="113">
        <f>IF(AND(ABS(Apr!F38)&gt;קריטריונים!$B$1,Apr!B38&gt;קריטריונים!$B$3),Apr!F38,"")</f>
        <v>-4.3062200956937691E-2</v>
      </c>
      <c r="AJ37" s="113">
        <f>IF(AND(ABS(Apr!E38)&gt;קריטריונים!$B$1,Apr!B38&gt;קריטריונים!$B$3),Apr!E38,"")</f>
        <v>0.3961605584642236</v>
      </c>
      <c r="AK37" s="113">
        <f>IF(AND(ABS(Mar!K38)&gt;קריטריונים!$B$2,Mar!B38&gt;קריטריונים!$B$3),Mar!K38,"")</f>
        <v>3.4330985915492995E-2</v>
      </c>
      <c r="AL37" s="113">
        <f>IF(AND(ABS(Mar!J38)&gt;קריטריונים!$B$2,Mar!B38&gt;קריטריונים!$B$3),Mar!J38,"")</f>
        <v>3.3421284080914715E-2</v>
      </c>
      <c r="AM37" s="113">
        <f>IF(AND(ABS(Mar!F38)&gt;קריטריונים!$B$1,Mar!B38&gt;קריטריונים!$B$3),Mar!F38,"")</f>
        <v>8.5832471561530621E-2</v>
      </c>
      <c r="AN37" s="113">
        <f>IF(AND(ABS(Mar!E38)&gt;קריטריונים!$B$1,Mar!B38&gt;קריטריונים!$B$3),Mar!E38,"")</f>
        <v>-0.10865874363327666</v>
      </c>
      <c r="AO37" s="113" t="str">
        <f>IF(AND(ABS(Feb!K38)&gt;קריטריונים!$B$2,Feb!B38&gt;קריטריונים!$B$3),Feb!K38,"")</f>
        <v/>
      </c>
      <c r="AP37" s="113" t="str">
        <f>IF(AND(ABS(Feb!J38)&gt;קריטריונים!$B$2,Feb!B38&gt;קריטריונים!$B$3),Feb!J38,"")</f>
        <v/>
      </c>
      <c r="AQ37" s="113" t="str">
        <f>IF(AND(ABS(Feb!F38)&gt;קריטריונים!$B$1,Feb!B38&gt;קריטריונים!$B$3),Feb!F38,"")</f>
        <v/>
      </c>
      <c r="AR37" s="113" t="str">
        <f>IF(AND(ABS(Feb!E38)&gt;קריטריונים!$B$1,Feb!B38&gt;קריטריונים!$B$3),Feb!E38,"")</f>
        <v/>
      </c>
      <c r="AS37" s="113" t="str">
        <f>IF(AND(ABS(Jan!F38)&gt;קריטריונים!$B$1,Jan!B38&gt;קריטריונים!$B$3),Jan!F38,"")</f>
        <v/>
      </c>
      <c r="AT37" s="103" t="str">
        <f>IF(AND(ABS(Jan!E38)&gt;קריטריונים!$B$1,Jan!B38&gt;קריטריונים!$B$3),Jan!E38,"")</f>
        <v/>
      </c>
      <c r="AU37" s="118" t="s">
        <v>29</v>
      </c>
      <c r="AV37" s="4"/>
    </row>
    <row r="38" spans="1:48">
      <c r="A38" s="112" t="str">
        <f>IF(AND(ABS(Dec!K39)&gt;קריטריונים!$B$2,Dec!B39&gt;קריטריונים!$B$3),Dec!K39,"")</f>
        <v/>
      </c>
      <c r="B38" s="113" t="str">
        <f>IF(AND(ABS(Dec!J39)&gt;קריטריונים!$B$2,Dec!B39&gt;קריטריונים!$B$3),Dec!J39,"")</f>
        <v/>
      </c>
      <c r="C38" s="113" t="str">
        <f>IF(AND(ABS(Dec!F39)&gt;קריטריונים!$B$1,Dec!B39&gt;קריטריונים!$B$3),Dec!F39,"")</f>
        <v/>
      </c>
      <c r="D38" s="113" t="str">
        <f>IF(AND(ABS(Dec!E39)&gt;קריטריונים!$B$1,Dec!B39&gt;קריטריונים!$B$3),Dec!E39,"")</f>
        <v/>
      </c>
      <c r="E38" s="113" t="str">
        <f>IF(AND(ABS(Nov!K39)&gt;קריטריונים!$B$2,Nov!B39&gt;קריטריונים!$B$3),Nov!K39,"")</f>
        <v/>
      </c>
      <c r="F38" s="113" t="str">
        <f>IF(AND(ABS(Nov!J39)&gt;קריטריונים!$B$2,Nov!B39&gt;קריטריונים!$B$3),Nov!J39,"")</f>
        <v/>
      </c>
      <c r="G38" s="113" t="str">
        <f>IF(AND(ABS(Nov!F39)&gt;קריטריונים!$B$1,Nov!B39&gt;קריטריונים!$B$3),Nov!F39,"")</f>
        <v/>
      </c>
      <c r="H38" s="113" t="str">
        <f>IF(AND(ABS(Nov!E39)&gt;קריטריונים!$B$1,Nov!B39&gt;קריטריונים!$B$3),Nov!E39,"")</f>
        <v/>
      </c>
      <c r="I38" s="113">
        <f>IF(AND(ABS(Oct!K39)&gt;קריטריונים!$B$2,Oct!B39&gt;קריטריונים!$B$3),Oct!K39,"")</f>
        <v>-3.5447311309380281E-2</v>
      </c>
      <c r="J38" s="113">
        <f>IF(AND(ABS(Oct!J39)&gt;קריטריונים!$B$2,Oct!B39&gt;קריטריונים!$B$3),Oct!J39,"")</f>
        <v>8.7449025826914273E-2</v>
      </c>
      <c r="K38" s="113">
        <f>IF(AND(ABS(Oct!F39)&gt;קריטריונים!$B$1,Oct!B39&gt;קריטריונים!$B$3),Oct!F39,"")</f>
        <v>0.19047619047619047</v>
      </c>
      <c r="L38" s="113">
        <f>IF(AND(ABS(Oct!E39)&gt;קריטריונים!$B$1,Oct!B39&gt;קריטריונים!$B$3),Oct!E39,"")</f>
        <v>0.13039967702866373</v>
      </c>
      <c r="M38" s="113" t="str">
        <f>IF(AND(ABS(Sep!K39)&gt;קריטריונים!$B$2,Sep!B39&gt;קריטריונים!$B$3),Sep!K39,"")</f>
        <v/>
      </c>
      <c r="N38" s="113" t="str">
        <f>IF(AND(ABS(Sep!J39)&gt;קריטריונים!$B$2,Sep!B39&gt;קריטריונים!$B$3),Sep!J39,"")</f>
        <v/>
      </c>
      <c r="O38" s="113" t="str">
        <f>IF(AND(ABS(Sep!F39)&gt;קריטריונים!$B$1,Sep!B39&gt;קריטריונים!$B$3),Sep!F39,"")</f>
        <v/>
      </c>
      <c r="P38" s="113" t="str">
        <f>IF(AND(ABS(Sep!E39)&gt;קריטריונים!$B$1,Sep!B39&gt;קריטריונים!$B$3),Sep!E39,"")</f>
        <v/>
      </c>
      <c r="Q38" s="113" t="str">
        <f>IF(AND(ABS(Aug!K39)&gt;קריטריונים!$B$2,Aug!B39&gt;קריטריונים!$B$3),Aug!K39,"")</f>
        <v/>
      </c>
      <c r="R38" s="113" t="str">
        <f>IF(AND(ABS(Aug!J39)&gt;קריטריונים!$B$2,Aug!B39&gt;קריטריונים!$B$3),Aug!J39,"")</f>
        <v/>
      </c>
      <c r="S38" s="113" t="str">
        <f>IF(AND(ABS(Aug!F39)&gt;קריטריונים!$B$1,Aug!B39&gt;קריטריונים!$B$3),Aug!F39,"")</f>
        <v/>
      </c>
      <c r="T38" s="113" t="str">
        <f>IF(AND(ABS(Aug!E39)&gt;קריטריונים!$B$1,Aug!B39&gt;קריטריונים!$B$3),Aug!E39,"")</f>
        <v/>
      </c>
      <c r="U38" s="113" t="str">
        <f>IF(AND(ABS(Jul!K39)&gt;קריטריונים!$B$2,Jul!B39&gt;קריטריונים!$B$3),Jul!K39,"")</f>
        <v/>
      </c>
      <c r="V38" s="113" t="str">
        <f>IF(AND(ABS(Jul!J39)&gt;קריטריונים!$B$2,Jul!B39&gt;קריטריונים!$B$3),Jul!J39,"")</f>
        <v/>
      </c>
      <c r="W38" s="113" t="str">
        <f>IF(AND(ABS(Jul!F39)&gt;קריטריונים!$B$1,Jul!B39&gt;קריטריונים!$B$3),Jul!F39,"")</f>
        <v/>
      </c>
      <c r="X38" s="113" t="str">
        <f>IF(AND(ABS(Jul!E39)&gt;קריטריונים!$B$1,Jul!B39&gt;קריטריונים!$B$3),Jul!E39,"")</f>
        <v/>
      </c>
      <c r="Y38" s="113" t="str">
        <f>IF(AND(ABS(Jun!K39)&gt;קריטריונים!$B$2,Jun!B39&gt;קריטריונים!$B$3),Jun!K39,"")</f>
        <v/>
      </c>
      <c r="Z38" s="113" t="str">
        <f>IF(AND(ABS(Jun!J39)&gt;קריטריונים!$B$2,Jun!B39&gt;קריטריונים!$B$3),Jun!J39,"")</f>
        <v/>
      </c>
      <c r="AA38" s="113" t="str">
        <f>IF(AND(ABS(Jun!F39)&gt;קריטריונים!$B$1,Jun!B39&gt;קריטריונים!$B$3),Jun!F39,"")</f>
        <v/>
      </c>
      <c r="AB38" s="113" t="str">
        <f>IF(AND(ABS(Jun!E39)&gt;קריטריונים!$B$1,Jun!B39&gt;קריטריונים!$B$3),Jun!E39,"")</f>
        <v/>
      </c>
      <c r="AC38" s="113" t="str">
        <f>IF(AND(ABS(May!K39)&gt;קריטריונים!$B$2,May!B39&gt;קריטריונים!$B$3),May!K39,"")</f>
        <v/>
      </c>
      <c r="AD38" s="113" t="str">
        <f>IF(AND(ABS(May!J39)&gt;קריטריונים!$B$2,May!B39&gt;קריטריונים!$B$3),May!J39,"")</f>
        <v/>
      </c>
      <c r="AE38" s="113" t="str">
        <f>IF(AND(ABS(May!F39)&gt;קריטריונים!$B$1,May!B39&gt;קריטריונים!$B$3),May!F39,"")</f>
        <v/>
      </c>
      <c r="AF38" s="113" t="str">
        <f>IF(AND(ABS(May!E39)&gt;קריטריונים!$B$1,May!B39&gt;קריטריונים!$B$3),May!E39,"")</f>
        <v/>
      </c>
      <c r="AG38" s="113" t="str">
        <f>IF(AND(ABS(Apr!K39)&gt;קריטריונים!$B$2,Apr!B39&gt;קריטריונים!$B$3),Apr!K39,"")</f>
        <v/>
      </c>
      <c r="AH38" s="113" t="str">
        <f>IF(AND(ABS(Apr!J39)&gt;קריטריונים!$B$2,Apr!B39&gt;קריטריונים!$B$3),Apr!J39,"")</f>
        <v/>
      </c>
      <c r="AI38" s="113" t="str">
        <f>IF(AND(ABS(Apr!F39)&gt;קריטריונים!$B$1,Apr!B39&gt;קריטריונים!$B$3),Apr!F39,"")</f>
        <v/>
      </c>
      <c r="AJ38" s="113" t="str">
        <f>IF(AND(ABS(Apr!E39)&gt;קריטריונים!$B$1,Apr!B39&gt;קריטריונים!$B$3),Apr!E39,"")</f>
        <v/>
      </c>
      <c r="AK38" s="113" t="str">
        <f>IF(AND(ABS(Mar!K39)&gt;קריטריונים!$B$2,Mar!B39&gt;קריטריונים!$B$3),Mar!K39,"")</f>
        <v/>
      </c>
      <c r="AL38" s="113" t="str">
        <f>IF(AND(ABS(Mar!J39)&gt;קריטריונים!$B$2,Mar!B39&gt;קריטריונים!$B$3),Mar!J39,"")</f>
        <v/>
      </c>
      <c r="AM38" s="113" t="str">
        <f>IF(AND(ABS(Mar!F39)&gt;קריטריונים!$B$1,Mar!B39&gt;קריטריונים!$B$3),Mar!F39,"")</f>
        <v/>
      </c>
      <c r="AN38" s="113" t="str">
        <f>IF(AND(ABS(Mar!E39)&gt;קריטריונים!$B$1,Mar!B39&gt;קריטריונים!$B$3),Mar!E39,"")</f>
        <v/>
      </c>
      <c r="AO38" s="113" t="str">
        <f>IF(AND(ABS(Feb!K39)&gt;קריטריונים!$B$2,Feb!B39&gt;קריטריונים!$B$3),Feb!K39,"")</f>
        <v/>
      </c>
      <c r="AP38" s="113" t="str">
        <f>IF(AND(ABS(Feb!J39)&gt;קריטריונים!$B$2,Feb!B39&gt;קריטריונים!$B$3),Feb!J39,"")</f>
        <v/>
      </c>
      <c r="AQ38" s="113" t="str">
        <f>IF(AND(ABS(Feb!F39)&gt;קריטריונים!$B$1,Feb!B39&gt;קריטריונים!$B$3),Feb!F39,"")</f>
        <v/>
      </c>
      <c r="AR38" s="113" t="str">
        <f>IF(AND(ABS(Feb!E39)&gt;קריטריונים!$B$1,Feb!B39&gt;קריטריונים!$B$3),Feb!E39,"")</f>
        <v/>
      </c>
      <c r="AS38" s="113" t="str">
        <f>IF(AND(ABS(Jan!F39)&gt;קריטריונים!$B$1,Jan!B39&gt;קריטריונים!$B$3),Jan!F39,"")</f>
        <v/>
      </c>
      <c r="AT38" s="103" t="str">
        <f>IF(AND(ABS(Jan!E39)&gt;קריטריונים!$B$1,Jan!B39&gt;קריטריונים!$B$3),Jan!E39,"")</f>
        <v/>
      </c>
      <c r="AU38" s="118" t="s">
        <v>30</v>
      </c>
      <c r="AV38" s="4"/>
    </row>
    <row r="39" spans="1:48">
      <c r="A39" s="112" t="str">
        <f>IF(AND(ABS(Dec!K40)&gt;קריטריונים!$B$2,Dec!B40&gt;קריטריונים!$B$3),Dec!K40,"")</f>
        <v/>
      </c>
      <c r="B39" s="113" t="str">
        <f>IF(AND(ABS(Dec!J40)&gt;קריטריונים!$B$2,Dec!B40&gt;קריטריונים!$B$3),Dec!J40,"")</f>
        <v/>
      </c>
      <c r="C39" s="113" t="str">
        <f>IF(AND(ABS(Dec!F40)&gt;קריטריונים!$B$1,Dec!B40&gt;קריטריונים!$B$3),Dec!F40,"")</f>
        <v/>
      </c>
      <c r="D39" s="113" t="str">
        <f>IF(AND(ABS(Dec!E40)&gt;קריטריונים!$B$1,Dec!B40&gt;קריטריונים!$B$3),Dec!E40,"")</f>
        <v/>
      </c>
      <c r="E39" s="113">
        <f>IF(AND(ABS(Nov!K40)&gt;קריטריונים!$B$2,Nov!B40&gt;קריטריונים!$B$3),Nov!K40,"")</f>
        <v>-1.1145104895104785E-2</v>
      </c>
      <c r="F39" s="113">
        <f>IF(AND(ABS(Nov!J40)&gt;קריטריונים!$B$2,Nov!B40&gt;קריטריונים!$B$3),Nov!J40,"")</f>
        <v>0.10204578665367769</v>
      </c>
      <c r="G39" s="113">
        <f>IF(AND(ABS(Nov!F40)&gt;קריטריונים!$B$1,Nov!B40&gt;קריטריונים!$B$3),Nov!F40,"")</f>
        <v>0.29764801297648003</v>
      </c>
      <c r="H39" s="113">
        <f>IF(AND(ABS(Nov!E40)&gt;קריטריונים!$B$1,Nov!B40&gt;קריטריונים!$B$3),Nov!E40,"")</f>
        <v>0.1134307585247043</v>
      </c>
      <c r="I39" s="113">
        <f>IF(AND(ABS(Oct!K40)&gt;קריטריונים!$B$2,Oct!B40&gt;קריטריונים!$B$3),Oct!K40,"")</f>
        <v>-3.344853845703244E-2</v>
      </c>
      <c r="J39" s="113">
        <f>IF(AND(ABS(Oct!J40)&gt;קריטריונים!$B$2,Oct!B40&gt;קריטריונים!$B$3),Oct!J40,"")</f>
        <v>0.10095416027223614</v>
      </c>
      <c r="K39" s="113">
        <f>IF(AND(ABS(Oct!F40)&gt;קריטריונים!$B$1,Oct!B40&gt;קריטריונים!$B$3),Oct!F40,"")</f>
        <v>0.19552641727728504</v>
      </c>
      <c r="L39" s="113">
        <f>IF(AND(ABS(Oct!E40)&gt;קריטריונים!$B$1,Oct!B40&gt;קריטריונים!$B$3),Oct!E40,"")</f>
        <v>0.39200718455321071</v>
      </c>
      <c r="M39" s="113" t="str">
        <f>IF(AND(ABS(Sep!K40)&gt;קריטריונים!$B$2,Sep!B40&gt;קריטריונים!$B$3),Sep!K40,"")</f>
        <v/>
      </c>
      <c r="N39" s="113" t="str">
        <f>IF(AND(ABS(Sep!J40)&gt;קריטריונים!$B$2,Sep!B40&gt;קריטריונים!$B$3),Sep!J40,"")</f>
        <v/>
      </c>
      <c r="O39" s="113" t="str">
        <f>IF(AND(ABS(Sep!F40)&gt;קריטריונים!$B$1,Sep!B40&gt;קריטריונים!$B$3),Sep!F40,"")</f>
        <v/>
      </c>
      <c r="P39" s="113" t="str">
        <f>IF(AND(ABS(Sep!E40)&gt;קריטריונים!$B$1,Sep!B40&gt;קריטריונים!$B$3),Sep!E40,"")</f>
        <v/>
      </c>
      <c r="Q39" s="113" t="str">
        <f>IF(AND(ABS(Aug!K40)&gt;קריטריונים!$B$2,Aug!B40&gt;קריטריונים!$B$3),Aug!K40,"")</f>
        <v/>
      </c>
      <c r="R39" s="113" t="str">
        <f>IF(AND(ABS(Aug!J40)&gt;קריטריונים!$B$2,Aug!B40&gt;קריטריונים!$B$3),Aug!J40,"")</f>
        <v/>
      </c>
      <c r="S39" s="113" t="str">
        <f>IF(AND(ABS(Aug!F40)&gt;קריטריונים!$B$1,Aug!B40&gt;קריטריונים!$B$3),Aug!F40,"")</f>
        <v/>
      </c>
      <c r="T39" s="113" t="str">
        <f>IF(AND(ABS(Aug!E40)&gt;קריטריונים!$B$1,Aug!B40&gt;קריטריונים!$B$3),Aug!E40,"")</f>
        <v/>
      </c>
      <c r="U39" s="113">
        <f>IF(AND(ABS(Jul!K40)&gt;קריטריונים!$B$2,Jul!B40&gt;קריטריונים!$B$3),Jul!K40,"")</f>
        <v>-0.14365067119271724</v>
      </c>
      <c r="V39" s="113">
        <f>IF(AND(ABS(Jul!J40)&gt;קריטריונים!$B$2,Jul!B40&gt;קריטריונים!$B$3),Jul!J40,"")</f>
        <v>4.8752834467120199E-2</v>
      </c>
      <c r="W39" s="113">
        <f>IF(AND(ABS(Jul!F40)&gt;קריטריונים!$B$1,Jul!B40&gt;קריטריונים!$B$3),Jul!F40,"")</f>
        <v>-0.15929203539823</v>
      </c>
      <c r="X39" s="113">
        <f>IF(AND(ABS(Jul!E40)&gt;קריטריונים!$B$1,Jul!B40&gt;קריטריונים!$B$3),Jul!E40,"")</f>
        <v>0.16635972989564141</v>
      </c>
      <c r="Y39" s="113" t="str">
        <f>IF(AND(ABS(Jun!K40)&gt;קריטריונים!$B$2,Jun!B40&gt;קריטריונים!$B$3),Jun!K40,"")</f>
        <v/>
      </c>
      <c r="Z39" s="113" t="str">
        <f>IF(AND(ABS(Jun!J40)&gt;קריטריונים!$B$2,Jun!B40&gt;קריטריונים!$B$3),Jun!J40,"")</f>
        <v/>
      </c>
      <c r="AA39" s="113" t="str">
        <f>IF(AND(ABS(Jun!F40)&gt;קריטריונים!$B$1,Jun!B40&gt;קריטריונים!$B$3),Jun!F40,"")</f>
        <v/>
      </c>
      <c r="AB39" s="113" t="str">
        <f>IF(AND(ABS(Jun!E40)&gt;קריטריונים!$B$1,Jun!B40&gt;קריטריונים!$B$3),Jun!E40,"")</f>
        <v/>
      </c>
      <c r="AC39" s="113" t="str">
        <f>IF(AND(ABS(May!K40)&gt;קריטריונים!$B$2,May!B40&gt;קריטריונים!$B$3),May!K40,"")</f>
        <v/>
      </c>
      <c r="AD39" s="113" t="str">
        <f>IF(AND(ABS(May!J40)&gt;קריטריונים!$B$2,May!B40&gt;קריטריונים!$B$3),May!J40,"")</f>
        <v/>
      </c>
      <c r="AE39" s="113" t="str">
        <f>IF(AND(ABS(May!F40)&gt;קריטריונים!$B$1,May!B40&gt;קריטריונים!$B$3),May!F40,"")</f>
        <v/>
      </c>
      <c r="AF39" s="113" t="str">
        <f>IF(AND(ABS(May!E40)&gt;קריטריונים!$B$1,May!B40&gt;קריטריונים!$B$3),May!E40,"")</f>
        <v/>
      </c>
      <c r="AG39" s="113">
        <f>IF(AND(ABS(Apr!K40)&gt;קריטריונים!$B$2,Apr!B40&gt;קריטריונים!$B$3),Apr!K40,"")</f>
        <v>-2.2222222222222365E-2</v>
      </c>
      <c r="AH39" s="113">
        <f>IF(AND(ABS(Apr!J40)&gt;קריטריונים!$B$2,Apr!B40&gt;קריטריונים!$B$3),Apr!J40,"")</f>
        <v>-9.3904448105436633E-2</v>
      </c>
      <c r="AI39" s="113">
        <f>IF(AND(ABS(Apr!F40)&gt;קריטריונים!$B$1,Apr!B40&gt;קריטריונים!$B$3),Apr!F40,"")</f>
        <v>0.14613180515759305</v>
      </c>
      <c r="AJ39" s="113">
        <f>IF(AND(ABS(Apr!E40)&gt;קריטריונים!$B$1,Apr!B40&gt;קריטריונים!$B$3),Apr!E40,"")</f>
        <v>0.38217000691085001</v>
      </c>
      <c r="AK39" s="113">
        <f>IF(AND(ABS(Mar!K40)&gt;קריטריונים!$B$2,Mar!B40&gt;קריטריונים!$B$3),Mar!K40,"")</f>
        <v>-8.0919080919081177E-2</v>
      </c>
      <c r="AL39" s="113">
        <f>IF(AND(ABS(Mar!J40)&gt;קריטריונים!$B$2,Mar!B40&gt;קריטריונים!$B$3),Mar!J40,"")</f>
        <v>-0.21192393352749705</v>
      </c>
      <c r="AM39" s="113">
        <f>IF(AND(ABS(Mar!F40)&gt;קריטריונים!$B$1,Mar!B40&gt;קריטריונים!$B$3),Mar!F40,"")</f>
        <v>-0.27948426241941604</v>
      </c>
      <c r="AN39" s="113">
        <f>IF(AND(ABS(Mar!E40)&gt;קריטריונים!$B$1,Mar!B40&gt;קריטריונים!$B$3),Mar!E40,"")</f>
        <v>-0.33797909407665516</v>
      </c>
      <c r="AO39" s="113">
        <f>IF(AND(ABS(Feb!K40)&gt;קריטריונים!$B$2,Feb!B40&gt;קריטריונים!$B$3),Feb!K40,"")</f>
        <v>0.14020270270270263</v>
      </c>
      <c r="AP39" s="113">
        <f>IF(AND(ABS(Feb!J40)&gt;קריטריונים!$B$2,Feb!B40&gt;קריטריונים!$B$3),Feb!J40,"")</f>
        <v>-8.9989888776541904E-2</v>
      </c>
      <c r="AQ39" s="113">
        <f>IF(AND(ABS(Feb!F40)&gt;קריטריונים!$B$1,Feb!B40&gt;קריטריונים!$B$3),Feb!F40,"")</f>
        <v>8.3276912660798841E-2</v>
      </c>
      <c r="AR39" s="113">
        <f>IF(AND(ABS(Feb!E40)&gt;קריטריונים!$B$1,Feb!B40&gt;קריטריונים!$B$3),Feb!E40,"")</f>
        <v>-6.9767441860465018E-2</v>
      </c>
      <c r="AS39" s="113" t="str">
        <f>IF(AND(ABS(Jan!F40)&gt;קריטריונים!$B$1,Jan!B40&gt;קריטריונים!$B$3),Jan!F40,"")</f>
        <v/>
      </c>
      <c r="AT39" s="103" t="str">
        <f>IF(AND(ABS(Jan!E40)&gt;קריטריונים!$B$1,Jan!B40&gt;קריטריונים!$B$3),Jan!E40,"")</f>
        <v/>
      </c>
      <c r="AU39" s="118" t="s">
        <v>31</v>
      </c>
      <c r="AV39" s="4"/>
    </row>
    <row r="40" spans="1:48">
      <c r="A40" s="112" t="str">
        <f>IF(AND(ABS(Dec!K41)&gt;קריטריונים!$B$2,Dec!B41&gt;קריטריונים!$B$3),Dec!K41,"")</f>
        <v/>
      </c>
      <c r="B40" s="113" t="str">
        <f>IF(AND(ABS(Dec!J41)&gt;קריטריונים!$B$2,Dec!B41&gt;קריטריונים!$B$3),Dec!J41,"")</f>
        <v/>
      </c>
      <c r="C40" s="113" t="str">
        <f>IF(AND(ABS(Dec!F41)&gt;קריטריונים!$B$1,Dec!B41&gt;קריטריונים!$B$3),Dec!F41,"")</f>
        <v/>
      </c>
      <c r="D40" s="113" t="str">
        <f>IF(AND(ABS(Dec!E41)&gt;קריטריונים!$B$1,Dec!B41&gt;קריטריונים!$B$3),Dec!E41,"")</f>
        <v/>
      </c>
      <c r="E40" s="113">
        <f>IF(AND(ABS(Nov!K41)&gt;קריטריונים!$B$2,Nov!B41&gt;קריטריונים!$B$3),Nov!K41,"")</f>
        <v>0.14048985580509354</v>
      </c>
      <c r="F40" s="113">
        <f>IF(AND(ABS(Nov!J41)&gt;קריטריונים!$B$2,Nov!B41&gt;קריטריונים!$B$3),Nov!J41,"")</f>
        <v>0.10049611554614346</v>
      </c>
      <c r="G40" s="113">
        <f>IF(AND(ABS(Nov!F41)&gt;קריטריונים!$B$1,Nov!B41&gt;קריטריונים!$B$3),Nov!F41,"")</f>
        <v>0.18658915346022131</v>
      </c>
      <c r="H40" s="113">
        <f>IF(AND(ABS(Nov!E41)&gt;קריטריונים!$B$1,Nov!B41&gt;קריטריונים!$B$3),Nov!E41,"")</f>
        <v>-1.1936339522546358E-2</v>
      </c>
      <c r="I40" s="113">
        <f>IF(AND(ABS(Oct!K41)&gt;קריטריונים!$B$2,Oct!B41&gt;קריטריונים!$B$3),Oct!K41,"")</f>
        <v>0.13662180763628129</v>
      </c>
      <c r="J40" s="113">
        <f>IF(AND(ABS(Oct!J41)&gt;קריטריונים!$B$2,Oct!B41&gt;קריטריונים!$B$3),Oct!J41,"")</f>
        <v>0.11157581064655697</v>
      </c>
      <c r="K40" s="113">
        <f>IF(AND(ABS(Oct!F41)&gt;קריטריונים!$B$1,Oct!B41&gt;קריטריונים!$B$3),Oct!F41,"")</f>
        <v>0.36178978085483782</v>
      </c>
      <c r="L40" s="113">
        <f>IF(AND(ABS(Oct!E41)&gt;קריטריונים!$B$1,Oct!B41&gt;קריטריונים!$B$3),Oct!E41,"")</f>
        <v>0.37667746413697367</v>
      </c>
      <c r="M40" s="113">
        <f>IF(AND(ABS(Sep!K41)&gt;קריטריונים!$B$2,Sep!B41&gt;קריטריונים!$B$3),Sep!K41,"")</f>
        <v>0.1068491492468433</v>
      </c>
      <c r="N40" s="113">
        <f>IF(AND(ABS(Sep!J41)&gt;קריטריונים!$B$2,Sep!B41&gt;קריטריונים!$B$3),Sep!J41,"")</f>
        <v>7.7811666592995321E-2</v>
      </c>
      <c r="O40" s="113">
        <f>IF(AND(ABS(Sep!F41)&gt;קריטריונים!$B$1,Sep!B41&gt;קריטריונים!$B$3),Sep!F41,"")</f>
        <v>7.7955454026270798E-2</v>
      </c>
      <c r="P40" s="113">
        <f>IF(AND(ABS(Sep!E41)&gt;קריטריונים!$B$1,Sep!B41&gt;קריטריונים!$B$3),Sep!E41,"")</f>
        <v>-9.4778490498171664E-2</v>
      </c>
      <c r="Q40" s="113">
        <f>IF(AND(ABS(Aug!K41)&gt;קריטריונים!$B$2,Aug!B41&gt;קריטריונים!$B$3),Aug!K41,"")</f>
        <v>0.11027426820909048</v>
      </c>
      <c r="R40" s="113">
        <f>IF(AND(ABS(Aug!J41)&gt;קריטריונים!$B$2,Aug!B41&gt;קריטריונים!$B$3),Aug!J41,"")</f>
        <v>0.10199316293876048</v>
      </c>
      <c r="S40" s="113">
        <f>IF(AND(ABS(Aug!F41)&gt;קריטריונים!$B$1,Aug!B41&gt;קריטריונים!$B$3),Aug!F41,"")</f>
        <v>0.10787824529991052</v>
      </c>
      <c r="T40" s="113">
        <f>IF(AND(ABS(Aug!E41)&gt;קריטריונים!$B$1,Aug!B41&gt;קריטריונים!$B$3),Aug!E41,"")</f>
        <v>0.16108602591919308</v>
      </c>
      <c r="U40" s="113">
        <f>IF(AND(ABS(Jul!K41)&gt;קריטריונים!$B$2,Jul!B41&gt;קריטריונים!$B$3),Jul!K41,"")</f>
        <v>-5.728236677978138E-2</v>
      </c>
      <c r="V40" s="113">
        <f>IF(AND(ABS(Jul!J41)&gt;קריטריונים!$B$2,Jul!B41&gt;קריטריונים!$B$3),Jul!J41,"")</f>
        <v>9.2114034743735473E-2</v>
      </c>
      <c r="W40" s="113">
        <f>IF(AND(ABS(Jul!F41)&gt;קריטריונים!$B$1,Jul!B41&gt;קריטריונים!$B$3),Jul!F41,"")</f>
        <v>3.4482758620689724E-2</v>
      </c>
      <c r="X40" s="113">
        <f>IF(AND(ABS(Jul!E41)&gt;קריטריונים!$B$1,Jul!B41&gt;קריטריונים!$B$3),Jul!E41,"")</f>
        <v>2.2113653895603047E-2</v>
      </c>
      <c r="Y40" s="113">
        <f>IF(AND(ABS(Jun!K41)&gt;קריטריונים!$B$2,Jun!B41&gt;קריטריונים!$B$3),Jun!K41,"")</f>
        <v>7.7134928088298249E-3</v>
      </c>
      <c r="Z40" s="113">
        <f>IF(AND(ABS(Jun!J41)&gt;קריטריונים!$B$2,Jun!B41&gt;קריטריונים!$B$3),Jun!J41,"")</f>
        <v>0.10471034610401619</v>
      </c>
      <c r="AA40" s="113">
        <f>IF(AND(ABS(Jun!F41)&gt;קריטריונים!$B$1,Jun!B41&gt;קריטריונים!$B$3),Jun!F41,"")</f>
        <v>0.14005389345678143</v>
      </c>
      <c r="AB40" s="113">
        <f>IF(AND(ABS(Jun!E41)&gt;קריטריונים!$B$1,Jun!B41&gt;קריטריונים!$B$3),Jun!E41,"")</f>
        <v>6.9137562366357708E-2</v>
      </c>
      <c r="AC40" s="113">
        <f>IF(AND(ABS(May!K41)&gt;קריטריונים!$B$2,May!B41&gt;קריטריונים!$B$3),May!K41,"")</f>
        <v>0.1212990036051893</v>
      </c>
      <c r="AD40" s="113">
        <f>IF(AND(ABS(May!J41)&gt;קריטריונים!$B$2,May!B41&gt;קריטריונים!$B$3),May!J41,"")</f>
        <v>0.1124410335844539</v>
      </c>
      <c r="AE40" s="113">
        <f>IF(AND(ABS(May!F41)&gt;קריטריונים!$B$1,May!B41&gt;קריטריונים!$B$3),May!F41,"")</f>
        <v>0.1632838533777643</v>
      </c>
      <c r="AF40" s="113">
        <f>IF(AND(ABS(May!E41)&gt;קריטריונים!$B$1,May!B41&gt;קריטריונים!$B$3),May!E41,"")</f>
        <v>-4.3491256912270293E-2</v>
      </c>
      <c r="AG40" s="113">
        <f>IF(AND(ABS(Apr!K41)&gt;קריטריונים!$B$2,Apr!B41&gt;קריטריונים!$B$3),Apr!K41,"")</f>
        <v>0.10845428089491915</v>
      </c>
      <c r="AH40" s="113">
        <f>IF(AND(ABS(Apr!J41)&gt;קריטריונים!$B$2,Apr!B41&gt;קריטריונים!$B$3),Apr!J41,"")</f>
        <v>0.17388402496957323</v>
      </c>
      <c r="AI40" s="113">
        <f>IF(AND(ABS(Apr!F41)&gt;קריטריונים!$B$1,Apr!B41&gt;קריטריונים!$B$3),Apr!F41,"")</f>
        <v>0.21613551224279259</v>
      </c>
      <c r="AJ40" s="113">
        <f>IF(AND(ABS(Apr!E41)&gt;קריטריונים!$B$1,Apr!B41&gt;קריטריונים!$B$3),Apr!E41,"")</f>
        <v>0.45985401459854014</v>
      </c>
      <c r="AK40" s="113">
        <f>IF(AND(ABS(Mar!K41)&gt;קריטריונים!$B$2,Mar!B41&gt;קריטריונים!$B$3),Mar!K41,"")</f>
        <v>5.2631578947368363E-2</v>
      </c>
      <c r="AL40" s="113">
        <f>IF(AND(ABS(Mar!J41)&gt;קריטריונים!$B$2,Mar!B41&gt;קריטריונים!$B$3),Mar!J41,"")</f>
        <v>5.0620821394460336E-2</v>
      </c>
      <c r="AM40" s="113">
        <f>IF(AND(ABS(Mar!F41)&gt;קריטריונים!$B$1,Mar!B41&gt;קריטריונים!$B$3),Mar!F41,"")</f>
        <v>-7.2830743653686247E-2</v>
      </c>
      <c r="AN40" s="113">
        <f>IF(AND(ABS(Mar!E41)&gt;קריטריונים!$B$1,Mar!B41&gt;קריטריונים!$B$3),Mar!E41,"")</f>
        <v>-4.6052631578947345E-2</v>
      </c>
      <c r="AO40" s="113">
        <f>IF(AND(ABS(Feb!K41)&gt;קריטריונים!$B$2,Feb!B41&gt;קריטריונים!$B$3),Feb!K41,"")</f>
        <v>0.15127444572922433</v>
      </c>
      <c r="AP40" s="113">
        <f>IF(AND(ABS(Feb!J41)&gt;קריטריונים!$B$2,Feb!B41&gt;קריטריונים!$B$3),Feb!J41,"")</f>
        <v>0.12265908422394323</v>
      </c>
      <c r="AQ40" s="113">
        <f>IF(AND(ABS(Feb!F41)&gt;קריטריונים!$B$1,Feb!B41&gt;קריטריונים!$B$3),Feb!F41,"")</f>
        <v>0.18089103596349965</v>
      </c>
      <c r="AR40" s="113">
        <f>IF(AND(ABS(Feb!E41)&gt;קריטריונים!$B$1,Feb!B41&gt;קריטריונים!$B$3),Feb!E41,"")</f>
        <v>0.11741301955472783</v>
      </c>
      <c r="AS40" s="113">
        <f>IF(AND(ABS(Jan!F41)&gt;קריטריונים!$B$1,Jan!B41&gt;קריטריונים!$B$3),Jan!F41,"")</f>
        <v>0.11327900837828531</v>
      </c>
      <c r="AT40" s="103">
        <f>IF(AND(ABS(Jan!E41)&gt;קריטריונים!$B$1,Jan!B41&gt;קריטריונים!$B$3),Jan!E41,"")</f>
        <v>0.12987769365171786</v>
      </c>
      <c r="AU40" s="118" t="s">
        <v>32</v>
      </c>
      <c r="AV40" s="4"/>
    </row>
    <row r="41" spans="1:48">
      <c r="A41" s="112" t="str">
        <f>IF(AND(ABS(Dec!K42)&gt;קריטריונים!$B$2,Dec!B42&gt;קריטריונים!$B$3),Dec!K42,"")</f>
        <v/>
      </c>
      <c r="B41" s="113" t="str">
        <f>IF(AND(ABS(Dec!J42)&gt;קריטריונים!$B$2,Dec!B42&gt;קריטריונים!$B$3),Dec!J42,"")</f>
        <v/>
      </c>
      <c r="C41" s="113" t="str">
        <f>IF(AND(ABS(Dec!F42)&gt;קריטריונים!$B$1,Dec!B42&gt;קריטריונים!$B$3),Dec!F42,"")</f>
        <v/>
      </c>
      <c r="D41" s="113" t="str">
        <f>IF(AND(ABS(Dec!E42)&gt;קריטריונים!$B$1,Dec!B42&gt;קריטריונים!$B$3),Dec!E42,"")</f>
        <v/>
      </c>
      <c r="E41" s="113" t="str">
        <f>IF(AND(ABS(Nov!K42)&gt;קריטריונים!$B$2,Nov!B42&gt;קריטריונים!$B$3),Nov!K42,"")</f>
        <v/>
      </c>
      <c r="F41" s="113" t="str">
        <f>IF(AND(ABS(Nov!J42)&gt;קריטריונים!$B$2,Nov!B42&gt;קריטריונים!$B$3),Nov!J42,"")</f>
        <v/>
      </c>
      <c r="G41" s="113" t="str">
        <f>IF(AND(ABS(Nov!F42)&gt;קריטריונים!$B$1,Nov!B42&gt;קריטריונים!$B$3),Nov!F42,"")</f>
        <v/>
      </c>
      <c r="H41" s="113" t="str">
        <f>IF(AND(ABS(Nov!E42)&gt;קריטריונים!$B$1,Nov!B42&gt;קריטריונים!$B$3),Nov!E42,"")</f>
        <v/>
      </c>
      <c r="I41" s="113">
        <f>IF(AND(ABS(Oct!K42)&gt;קריטריונים!$B$2,Oct!B42&gt;קריטריונים!$B$3),Oct!K42,"")</f>
        <v>0.19717294100677929</v>
      </c>
      <c r="J41" s="113">
        <f>IF(AND(ABS(Oct!J42)&gt;קריטריונים!$B$2,Oct!B42&gt;קריטריונים!$B$3),Oct!J42,"")</f>
        <v>-3.7569573283858793E-2</v>
      </c>
      <c r="K41" s="113">
        <f>IF(AND(ABS(Oct!F42)&gt;קריטריונים!$B$1,Oct!B42&gt;קריטריונים!$B$3),Oct!F42,"")</f>
        <v>0.53846153846153855</v>
      </c>
      <c r="L41" s="113">
        <f>IF(AND(ABS(Oct!E42)&gt;קריטריונים!$B$1,Oct!B42&gt;קריטריונים!$B$3),Oct!E42,"")</f>
        <v>-7.4609600925390374E-2</v>
      </c>
      <c r="M41" s="113" t="str">
        <f>IF(AND(ABS(Sep!K42)&gt;קריטריונים!$B$2,Sep!B42&gt;קריטריונים!$B$3),Sep!K42,"")</f>
        <v/>
      </c>
      <c r="N41" s="113" t="str">
        <f>IF(AND(ABS(Sep!J42)&gt;קריטריונים!$B$2,Sep!B42&gt;קריטריונים!$B$3),Sep!J42,"")</f>
        <v/>
      </c>
      <c r="O41" s="113" t="str">
        <f>IF(AND(ABS(Sep!F42)&gt;קריטריונים!$B$1,Sep!B42&gt;קריטריונים!$B$3),Sep!F42,"")</f>
        <v/>
      </c>
      <c r="P41" s="113" t="str">
        <f>IF(AND(ABS(Sep!E42)&gt;קריטריונים!$B$1,Sep!B42&gt;קריטריונים!$B$3),Sep!E42,"")</f>
        <v/>
      </c>
      <c r="Q41" s="113" t="str">
        <f>IF(AND(ABS(Aug!K42)&gt;קריטריונים!$B$2,Aug!B42&gt;קריטריונים!$B$3),Aug!K42,"")</f>
        <v/>
      </c>
      <c r="R41" s="113" t="str">
        <f>IF(AND(ABS(Aug!J42)&gt;קריטריונים!$B$2,Aug!B42&gt;קריטריונים!$B$3),Aug!J42,"")</f>
        <v/>
      </c>
      <c r="S41" s="113" t="str">
        <f>IF(AND(ABS(Aug!F42)&gt;קריטריונים!$B$1,Aug!B42&gt;קריטריונים!$B$3),Aug!F42,"")</f>
        <v/>
      </c>
      <c r="T41" s="113" t="str">
        <f>IF(AND(ABS(Aug!E42)&gt;קריטריונים!$B$1,Aug!B42&gt;קריטריונים!$B$3),Aug!E42,"")</f>
        <v/>
      </c>
      <c r="U41" s="113" t="str">
        <f>IF(AND(ABS(Jul!K42)&gt;קריטריונים!$B$2,Jul!B42&gt;קריטריונים!$B$3),Jul!K42,"")</f>
        <v/>
      </c>
      <c r="V41" s="113" t="str">
        <f>IF(AND(ABS(Jul!J42)&gt;קריטריונים!$B$2,Jul!B42&gt;קריטריונים!$B$3),Jul!J42,"")</f>
        <v/>
      </c>
      <c r="W41" s="113" t="str">
        <f>IF(AND(ABS(Jul!F42)&gt;קריטריונים!$B$1,Jul!B42&gt;קריטריונים!$B$3),Jul!F42,"")</f>
        <v/>
      </c>
      <c r="X41" s="113" t="str">
        <f>IF(AND(ABS(Jul!E42)&gt;קריטריונים!$B$1,Jul!B42&gt;קריטריונים!$B$3),Jul!E42,"")</f>
        <v/>
      </c>
      <c r="Y41" s="113" t="str">
        <f>IF(AND(ABS(Jun!K42)&gt;קריטריונים!$B$2,Jun!B42&gt;קריטריונים!$B$3),Jun!K42,"")</f>
        <v/>
      </c>
      <c r="Z41" s="113" t="str">
        <f>IF(AND(ABS(Jun!J42)&gt;קריטריונים!$B$2,Jun!B42&gt;קריטריונים!$B$3),Jun!J42,"")</f>
        <v/>
      </c>
      <c r="AA41" s="113" t="str">
        <f>IF(AND(ABS(Jun!F42)&gt;קריטריונים!$B$1,Jun!B42&gt;קריטריונים!$B$3),Jun!F42,"")</f>
        <v/>
      </c>
      <c r="AB41" s="113" t="str">
        <f>IF(AND(ABS(Jun!E42)&gt;קריטריונים!$B$1,Jun!B42&gt;קריטריונים!$B$3),Jun!E42,"")</f>
        <v/>
      </c>
      <c r="AC41" s="113" t="str">
        <f>IF(AND(ABS(May!K42)&gt;קריטריונים!$B$2,May!B42&gt;קריטריונים!$B$3),May!K42,"")</f>
        <v/>
      </c>
      <c r="AD41" s="113" t="str">
        <f>IF(AND(ABS(May!J42)&gt;קריטריונים!$B$2,May!B42&gt;קריטריונים!$B$3),May!J42,"")</f>
        <v/>
      </c>
      <c r="AE41" s="113" t="str">
        <f>IF(AND(ABS(May!F42)&gt;קריטריונים!$B$1,May!B42&gt;קריטריונים!$B$3),May!F42,"")</f>
        <v/>
      </c>
      <c r="AF41" s="113" t="str">
        <f>IF(AND(ABS(May!E42)&gt;קריטריונים!$B$1,May!B42&gt;קריטריונים!$B$3),May!E42,"")</f>
        <v/>
      </c>
      <c r="AG41" s="113" t="str">
        <f>IF(AND(ABS(Apr!K42)&gt;קריטריונים!$B$2,Apr!B42&gt;קריטריונים!$B$3),Apr!K42,"")</f>
        <v/>
      </c>
      <c r="AH41" s="113" t="str">
        <f>IF(AND(ABS(Apr!J42)&gt;קריטריונים!$B$2,Apr!B42&gt;קריטריונים!$B$3),Apr!J42,"")</f>
        <v/>
      </c>
      <c r="AI41" s="113" t="str">
        <f>IF(AND(ABS(Apr!F42)&gt;קריטריונים!$B$1,Apr!B42&gt;קריטריונים!$B$3),Apr!F42,"")</f>
        <v/>
      </c>
      <c r="AJ41" s="113" t="str">
        <f>IF(AND(ABS(Apr!E42)&gt;קריטריונים!$B$1,Apr!B42&gt;קריטריונים!$B$3),Apr!E42,"")</f>
        <v/>
      </c>
      <c r="AK41" s="113" t="str">
        <f>IF(AND(ABS(Mar!K42)&gt;קריטריונים!$B$2,Mar!B42&gt;קריטריונים!$B$3),Mar!K42,"")</f>
        <v/>
      </c>
      <c r="AL41" s="113" t="str">
        <f>IF(AND(ABS(Mar!J42)&gt;קריטריונים!$B$2,Mar!B42&gt;קריטריונים!$B$3),Mar!J42,"")</f>
        <v/>
      </c>
      <c r="AM41" s="113" t="str">
        <f>IF(AND(ABS(Mar!F42)&gt;קריטריונים!$B$1,Mar!B42&gt;קריטריונים!$B$3),Mar!F42,"")</f>
        <v/>
      </c>
      <c r="AN41" s="113" t="str">
        <f>IF(AND(ABS(Mar!E42)&gt;קריטריונים!$B$1,Mar!B42&gt;קריטריונים!$B$3),Mar!E42,"")</f>
        <v/>
      </c>
      <c r="AO41" s="113" t="str">
        <f>IF(AND(ABS(Feb!K42)&gt;קריטריונים!$B$2,Feb!B42&gt;קריטריונים!$B$3),Feb!K42,"")</f>
        <v/>
      </c>
      <c r="AP41" s="113" t="str">
        <f>IF(AND(ABS(Feb!J42)&gt;קריטריונים!$B$2,Feb!B42&gt;קריטריונים!$B$3),Feb!J42,"")</f>
        <v/>
      </c>
      <c r="AQ41" s="113" t="str">
        <f>IF(AND(ABS(Feb!F42)&gt;קריטריונים!$B$1,Feb!B42&gt;קריטריונים!$B$3),Feb!F42,"")</f>
        <v/>
      </c>
      <c r="AR41" s="113" t="str">
        <f>IF(AND(ABS(Feb!E42)&gt;קריטריונים!$B$1,Feb!B42&gt;קריטריונים!$B$3),Feb!E42,"")</f>
        <v/>
      </c>
      <c r="AS41" s="113" t="str">
        <f>IF(AND(ABS(Jan!F42)&gt;קריטריונים!$B$1,Jan!B42&gt;קריטריונים!$B$3),Jan!F42,"")</f>
        <v/>
      </c>
      <c r="AT41" s="103" t="str">
        <f>IF(AND(ABS(Jan!E42)&gt;קריטריונים!$B$1,Jan!B42&gt;קריטריונים!$B$3),Jan!E42,"")</f>
        <v/>
      </c>
      <c r="AU41" s="118" t="s">
        <v>33</v>
      </c>
      <c r="AV41" s="4"/>
    </row>
    <row r="42" spans="1:48">
      <c r="A42" s="112" t="str">
        <f>IF(AND(ABS(Dec!K43)&gt;קריטריונים!$B$2,Dec!B43&gt;קריטריונים!$B$3),Dec!K43,"")</f>
        <v/>
      </c>
      <c r="B42" s="113" t="str">
        <f>IF(AND(ABS(Dec!J43)&gt;קריטריונים!$B$2,Dec!B43&gt;קריטריונים!$B$3),Dec!J43,"")</f>
        <v/>
      </c>
      <c r="C42" s="113" t="str">
        <f>IF(AND(ABS(Dec!F43)&gt;קריטריונים!$B$1,Dec!B43&gt;קריטריונים!$B$3),Dec!F43,"")</f>
        <v/>
      </c>
      <c r="D42" s="113" t="str">
        <f>IF(AND(ABS(Dec!E43)&gt;קריטריונים!$B$1,Dec!B43&gt;קריטריונים!$B$3),Dec!E43,"")</f>
        <v/>
      </c>
      <c r="E42" s="113">
        <f>IF(AND(ABS(Nov!K43)&gt;קריטריונים!$B$2,Nov!B43&gt;קריטריונים!$B$3),Nov!K43,"")</f>
        <v>0.32599675266101391</v>
      </c>
      <c r="F42" s="113">
        <f>IF(AND(ABS(Nov!J43)&gt;קריטריונים!$B$2,Nov!B43&gt;קריטריונים!$B$3),Nov!J43,"")</f>
        <v>0.27712256467061969</v>
      </c>
      <c r="G42" s="113">
        <f>IF(AND(ABS(Nov!F43)&gt;קריטריונים!$B$1,Nov!B43&gt;קריטריונים!$B$3),Nov!F43,"")</f>
        <v>1.0167545764815391</v>
      </c>
      <c r="H42" s="113">
        <f>IF(AND(ABS(Nov!E43)&gt;קריטריונים!$B$1,Nov!B43&gt;קריטריונים!$B$3),Nov!E43,"")</f>
        <v>0.48266423357664223</v>
      </c>
      <c r="I42" s="113">
        <f>IF(AND(ABS(Oct!K43)&gt;קריטריונים!$B$2,Oct!B43&gt;קריטריונים!$B$3),Oct!K43,"")</f>
        <v>0.27185622917730612</v>
      </c>
      <c r="J42" s="113">
        <f>IF(AND(ABS(Oct!J43)&gt;קריטריונים!$B$2,Oct!B43&gt;קריטריונים!$B$3),Oct!J43,"")</f>
        <v>0.25549127397556237</v>
      </c>
      <c r="K42" s="113">
        <f>IF(AND(ABS(Oct!F43)&gt;קריטריונים!$B$1,Oct!B43&gt;קריטריונים!$B$3),Oct!F43,"")</f>
        <v>0.40082181546507289</v>
      </c>
      <c r="L42" s="113">
        <f>IF(AND(ABS(Oct!E43)&gt;קריטריונים!$B$1,Oct!B43&gt;קריטריונים!$B$3),Oct!E43,"")</f>
        <v>0.48573692551505543</v>
      </c>
      <c r="M42" s="113">
        <f>IF(AND(ABS(Sep!K43)&gt;קריטריונים!$B$2,Sep!B43&gt;קריטריונים!$B$3),Sep!K43,"")</f>
        <v>0.25255123437805804</v>
      </c>
      <c r="N42" s="113">
        <f>IF(AND(ABS(Sep!J43)&gt;קריטריונים!$B$2,Sep!B43&gt;קריטריונים!$B$3),Sep!J43,"")</f>
        <v>0.22374279548744846</v>
      </c>
      <c r="O42" s="113">
        <f>IF(AND(ABS(Sep!F43)&gt;קריטריונים!$B$1,Sep!B43&gt;קריטריונים!$B$3),Sep!F43,"")</f>
        <v>0.28169406519921969</v>
      </c>
      <c r="P42" s="113">
        <f>IF(AND(ABS(Sep!E43)&gt;קריטריונים!$B$1,Sep!B43&gt;קריטריונים!$B$3),Sep!E43,"")</f>
        <v>4.261106074342691E-2</v>
      </c>
      <c r="Q42" s="113">
        <f>IF(AND(ABS(Aug!K43)&gt;קריטריונים!$B$2,Aug!B43&gt;קריטריונים!$B$3),Aug!K43,"")</f>
        <v>0.24930076449748295</v>
      </c>
      <c r="R42" s="113">
        <f>IF(AND(ABS(Aug!J43)&gt;קריטריונים!$B$2,Aug!B43&gt;קריטריונים!$B$3),Aug!J43,"")</f>
        <v>0.24856353076373572</v>
      </c>
      <c r="S42" s="113">
        <f>IF(AND(ABS(Aug!F43)&gt;קריטריונים!$B$1,Aug!B43&gt;קריטריונים!$B$3),Aug!F43,"")</f>
        <v>0.13871635610766031</v>
      </c>
      <c r="T42" s="113">
        <f>IF(AND(ABS(Aug!E43)&gt;קריטריונים!$B$1,Aug!B43&gt;קריטריונים!$B$3),Aug!E43,"")</f>
        <v>9.9633455514828384E-2</v>
      </c>
      <c r="U42" s="113">
        <f>IF(AND(ABS(Jul!K43)&gt;קריטריונים!$B$2,Jul!B43&gt;קריטריונים!$B$3),Jul!K43,"")</f>
        <v>0.14674622412828664</v>
      </c>
      <c r="V42" s="113">
        <f>IF(AND(ABS(Jul!J43)&gt;קריטריונים!$B$2,Jul!B43&gt;קריטריונים!$B$3),Jul!J43,"")</f>
        <v>0.26387176325524053</v>
      </c>
      <c r="W42" s="113">
        <f>IF(AND(ABS(Jul!F43)&gt;קריטריונים!$B$1,Jul!B43&gt;קריטריונים!$B$3),Jul!F43,"")</f>
        <v>6.4701064701064626E-2</v>
      </c>
      <c r="X42" s="113">
        <f>IF(AND(ABS(Jul!E43)&gt;קריטריונים!$B$1,Jul!B43&gt;קריטריונים!$B$3),Jul!E43,"")</f>
        <v>0.24372159770389867</v>
      </c>
      <c r="Y42" s="113">
        <f>IF(AND(ABS(Jun!K43)&gt;קריטריונים!$B$2,Jun!B43&gt;קריטריונים!$B$3),Jun!K43,"")</f>
        <v>0.28386861609493352</v>
      </c>
      <c r="Z42" s="113">
        <f>IF(AND(ABS(Jun!J43)&gt;קריטריונים!$B$2,Jun!B43&gt;קריטריונים!$B$3),Jun!J43,"")</f>
        <v>0.26723965620627621</v>
      </c>
      <c r="AA42" s="113">
        <f>IF(AND(ABS(Jun!F43)&gt;קריטריונים!$B$1,Jun!B43&gt;קריטריונים!$B$3),Jun!F43,"")</f>
        <v>0.20120120120120122</v>
      </c>
      <c r="AB42" s="113">
        <f>IF(AND(ABS(Jun!E43)&gt;קריטריונים!$B$1,Jun!B43&gt;קריטריונים!$B$3),Jun!E43,"")</f>
        <v>0.14285714285714279</v>
      </c>
      <c r="AC42" s="113">
        <f>IF(AND(ABS(May!K43)&gt;קריטריונים!$B$2,May!B43&gt;קריטריונים!$B$3),May!K43,"")</f>
        <v>0.3149150289566125</v>
      </c>
      <c r="AD42" s="113">
        <f>IF(AND(ABS(May!J43)&gt;קריטריונים!$B$2,May!B43&gt;קריטריונים!$B$3),May!J43,"")</f>
        <v>0.28747385544968629</v>
      </c>
      <c r="AE42" s="113">
        <f>IF(AND(ABS(May!F43)&gt;קריטריונים!$B$1,May!B43&gt;קריטריונים!$B$3),May!F43,"")</f>
        <v>3.6090485235710457E-2</v>
      </c>
      <c r="AF42" s="113">
        <f>IF(AND(ABS(May!E43)&gt;קריטריונים!$B$1,May!B43&gt;קריטריונים!$B$3),May!E43,"")</f>
        <v>0.11193476649369916</v>
      </c>
      <c r="AG42" s="113">
        <f>IF(AND(ABS(Apr!K43)&gt;קריטריונים!$B$2,Apr!B43&gt;קריטריונים!$B$3),Apr!K43,"")</f>
        <v>0.42062193126022906</v>
      </c>
      <c r="AH42" s="113">
        <f>IF(AND(ABS(Apr!J43)&gt;קריטריונים!$B$2,Apr!B43&gt;קריטריונים!$B$3),Apr!J43,"")</f>
        <v>0.34623735963769486</v>
      </c>
      <c r="AI42" s="113">
        <f>IF(AND(ABS(Apr!F43)&gt;קריטריונים!$B$1,Apr!B43&gt;קריטריונים!$B$3),Apr!F43,"")</f>
        <v>0.57227085938895828</v>
      </c>
      <c r="AJ42" s="113">
        <f>IF(AND(ABS(Apr!E43)&gt;קריטריונים!$B$1,Apr!B43&gt;קריטריונים!$B$3),Apr!E43,"")</f>
        <v>0.40507743892703196</v>
      </c>
      <c r="AK42" s="113">
        <f>IF(AND(ABS(Mar!K43)&gt;קריטריונים!$B$2,Mar!B43&gt;קריטריונים!$B$3),Mar!K43,"")</f>
        <v>0.33292002479851202</v>
      </c>
      <c r="AL42" s="113">
        <f>IF(AND(ABS(Mar!J43)&gt;קריטריונים!$B$2,Mar!B43&gt;קריטריונים!$B$3),Mar!J43,"")</f>
        <v>0.3088474025974024</v>
      </c>
      <c r="AM42" s="113">
        <f>IF(AND(ABS(Mar!F43)&gt;קריטריונים!$B$1,Mar!B43&gt;קריטריונים!$B$3),Mar!F43,"")</f>
        <v>0.52650568970302514</v>
      </c>
      <c r="AN42" s="113">
        <f>IF(AND(ABS(Mar!E43)&gt;קריטריונים!$B$1,Mar!B43&gt;קריטריונים!$B$3),Mar!E43,"")</f>
        <v>0.35836008891084203</v>
      </c>
      <c r="AO42" s="113">
        <f>IF(AND(ABS(Feb!K43)&gt;קריטריונים!$B$2,Feb!B43&gt;קריטריונים!$B$3),Feb!K43,"")</f>
        <v>0.21810699588477367</v>
      </c>
      <c r="AP42" s="113">
        <f>IF(AND(ABS(Feb!J43)&gt;קריטריונים!$B$2,Feb!B43&gt;קריטריונים!$B$3),Feb!J43,"")</f>
        <v>0.27432409161356985</v>
      </c>
      <c r="AQ42" s="113">
        <f>IF(AND(ABS(Feb!F43)&gt;קריטריונים!$B$1,Feb!B43&gt;קריטריונים!$B$3),Feb!F43,"")</f>
        <v>0.28278221208665899</v>
      </c>
      <c r="AR42" s="113">
        <f>IF(AND(ABS(Feb!E43)&gt;קריטריונים!$B$1,Feb!B43&gt;קריטריונים!$B$3),Feb!E43,"")</f>
        <v>0.30208333333333326</v>
      </c>
      <c r="AS42" s="113">
        <f>IF(AND(ABS(Jan!F43)&gt;קריטריונים!$B$1,Jan!B43&gt;קריטריונים!$B$3),Jan!F43,"")</f>
        <v>0.12972341254382536</v>
      </c>
      <c r="AT42" s="103">
        <f>IF(AND(ABS(Jan!E43)&gt;קריטריונים!$B$1,Jan!B43&gt;קריטריונים!$B$3),Jan!E43,"")</f>
        <v>0.23351765206295183</v>
      </c>
      <c r="AU42" s="118" t="s">
        <v>34</v>
      </c>
      <c r="AV42" s="4"/>
    </row>
    <row r="43" spans="1:48">
      <c r="A43" s="112" t="str">
        <f>IF(AND(ABS(Dec!K44)&gt;קריטריונים!$B$2,Dec!B44&gt;קריטריונים!$B$3),Dec!K44,"")</f>
        <v/>
      </c>
      <c r="B43" s="113" t="str">
        <f>IF(AND(ABS(Dec!J44)&gt;קריטריונים!$B$2,Dec!B44&gt;קריטריונים!$B$3),Dec!J44,"")</f>
        <v/>
      </c>
      <c r="C43" s="113" t="str">
        <f>IF(AND(ABS(Dec!F44)&gt;קריטריונים!$B$1,Dec!B44&gt;קריטריונים!$B$3),Dec!F44,"")</f>
        <v/>
      </c>
      <c r="D43" s="113" t="str">
        <f>IF(AND(ABS(Dec!E44)&gt;קריטריונים!$B$1,Dec!B44&gt;קריטריונים!$B$3),Dec!E44,"")</f>
        <v/>
      </c>
      <c r="E43" s="113">
        <f>IF(AND(ABS(Nov!K44)&gt;קריטריונים!$B$2,Nov!B44&gt;קריטריונים!$B$3),Nov!K44,"")</f>
        <v>0.11211001231978157</v>
      </c>
      <c r="F43" s="113">
        <f>IF(AND(ABS(Nov!J44)&gt;קריטריונים!$B$2,Nov!B44&gt;קריטריונים!$B$3),Nov!J44,"")</f>
        <v>0.10482617181039333</v>
      </c>
      <c r="G43" s="113">
        <f>IF(AND(ABS(Nov!F44)&gt;קריטריונים!$B$1,Nov!B44&gt;קריטריונים!$B$3),Nov!F44,"")</f>
        <v>0.24899274778404501</v>
      </c>
      <c r="H43" s="113">
        <f>IF(AND(ABS(Nov!E44)&gt;קריטריונים!$B$1,Nov!B44&gt;קריטריונים!$B$3),Nov!E44,"")</f>
        <v>0.18095238095238098</v>
      </c>
      <c r="I43" s="113">
        <f>IF(AND(ABS(Oct!K44)&gt;קריטריונים!$B$2,Oct!B44&gt;קריטריונים!$B$3),Oct!K44,"")</f>
        <v>9.9778592428586999E-2</v>
      </c>
      <c r="J43" s="113">
        <f>IF(AND(ABS(Oct!J44)&gt;קריטריונים!$B$2,Oct!B44&gt;קריטריונים!$B$3),Oct!J44,"")</f>
        <v>9.7587480982395336E-2</v>
      </c>
      <c r="K43" s="113">
        <f>IF(AND(ABS(Oct!F44)&gt;קריטריונים!$B$1,Oct!B44&gt;קריטריונים!$B$3),Oct!F44,"")</f>
        <v>0.64594001463057782</v>
      </c>
      <c r="L43" s="113">
        <f>IF(AND(ABS(Oct!E44)&gt;קריטריונים!$B$1,Oct!B44&gt;קריטריונים!$B$3),Oct!E44,"")</f>
        <v>0.4218009478672986</v>
      </c>
      <c r="M43" s="113">
        <f>IF(AND(ABS(Sep!K44)&gt;קריטריונים!$B$2,Sep!B44&gt;קריטריונים!$B$3),Sep!K44,"")</f>
        <v>3.960994479590596E-2</v>
      </c>
      <c r="N43" s="113">
        <f>IF(AND(ABS(Sep!J44)&gt;קריטריונים!$B$2,Sep!B44&gt;קריטריונים!$B$3),Sep!J44,"")</f>
        <v>5.5603289554437385E-2</v>
      </c>
      <c r="O43" s="113">
        <f>IF(AND(ABS(Sep!F44)&gt;קריטריונים!$B$1,Sep!B44&gt;קריטריונים!$B$3),Sep!F44,"")</f>
        <v>-7.0247933884297398E-2</v>
      </c>
      <c r="P43" s="113">
        <f>IF(AND(ABS(Sep!E44)&gt;קריטריונים!$B$1,Sep!B44&gt;קריטריונים!$B$3),Sep!E44,"")</f>
        <v>-0.16999692591454041</v>
      </c>
      <c r="Q43" s="113">
        <f>IF(AND(ABS(Aug!K44)&gt;קריטריונים!$B$2,Aug!B44&gt;קריטריונים!$B$3),Aug!K44,"")</f>
        <v>5.4168758271345929E-2</v>
      </c>
      <c r="R43" s="113">
        <f>IF(AND(ABS(Aug!J44)&gt;קריטריונים!$B$2,Aug!B44&gt;קריטריונים!$B$3),Aug!J44,"")</f>
        <v>9.0239758353785282E-2</v>
      </c>
      <c r="S43" s="113">
        <f>IF(AND(ABS(Aug!F44)&gt;קריטריונים!$B$1,Aug!B44&gt;קריטריונים!$B$3),Aug!F44,"")</f>
        <v>3.0110935023771823E-2</v>
      </c>
      <c r="T43" s="113">
        <f>IF(AND(ABS(Aug!E44)&gt;קריטריונים!$B$1,Aug!B44&gt;קריטריונים!$B$3),Aug!E44,"")</f>
        <v>0.22989593188268698</v>
      </c>
      <c r="U43" s="113">
        <f>IF(AND(ABS(Jul!K44)&gt;קריטריונים!$B$2,Jul!B44&gt;קריטריונים!$B$3),Jul!K44,"")</f>
        <v>-6.4482270798156383E-2</v>
      </c>
      <c r="V43" s="113">
        <f>IF(AND(ABS(Jul!J44)&gt;קריטריונים!$B$2,Jul!B44&gt;קריטריונים!$B$3),Jul!J44,"")</f>
        <v>7.4761455384292796E-2</v>
      </c>
      <c r="W43" s="113">
        <f>IF(AND(ABS(Jul!F44)&gt;קריטריונים!$B$1,Jul!B44&gt;קריטריונים!$B$3),Jul!F44,"")</f>
        <v>-5.6900345803206576E-2</v>
      </c>
      <c r="X43" s="113">
        <f>IF(AND(ABS(Jul!E44)&gt;קריטריונים!$B$1,Jul!B44&gt;קריטריונים!$B$3),Jul!E44,"")</f>
        <v>2.1102791014295352E-2</v>
      </c>
      <c r="Y43" s="113">
        <f>IF(AND(ABS(Jun!K44)&gt;קריטריונים!$B$2,Jun!B44&gt;קריטריונים!$B$3),Jun!K44,"")</f>
        <v>5.7721365971592498E-2</v>
      </c>
      <c r="Z43" s="113">
        <f>IF(AND(ABS(Jun!J44)&gt;קריטריונים!$B$2,Jun!B44&gt;קריטריונים!$B$3),Jun!J44,"")</f>
        <v>8.4531482399603508E-2</v>
      </c>
      <c r="AA43" s="113">
        <f>IF(AND(ABS(Jun!F44)&gt;קריטריונים!$B$1,Jun!B44&gt;קריטריונים!$B$3),Jun!F44,"")</f>
        <v>-2.6479750778816258E-2</v>
      </c>
      <c r="AB43" s="113">
        <f>IF(AND(ABS(Jun!E44)&gt;קריטריונים!$B$1,Jun!B44&gt;קריטריונים!$B$3),Jun!E44,"")</f>
        <v>-5.374716124148371E-2</v>
      </c>
      <c r="AC43" s="113">
        <f>IF(AND(ABS(May!K44)&gt;קריטריונים!$B$2,May!B44&gt;קריטריונים!$B$3),May!K44,"")</f>
        <v>9.9706744868035102E-2</v>
      </c>
      <c r="AD43" s="113">
        <f>IF(AND(ABS(May!J44)&gt;קריטריונים!$B$2,May!B44&gt;קריטריונים!$B$3),May!J44,"")</f>
        <v>0.11160515784793246</v>
      </c>
      <c r="AE43" s="113">
        <f>IF(AND(ABS(May!F44)&gt;קריטריונים!$B$1,May!B44&gt;קריטריונים!$B$3),May!F44,"")</f>
        <v>0.11002285341168783</v>
      </c>
      <c r="AF43" s="113">
        <f>IF(AND(ABS(May!E44)&gt;קריטריונים!$B$1,May!B44&gt;קריטריונים!$B$3),May!E44,"")</f>
        <v>-2.3549684089603784E-2</v>
      </c>
      <c r="AG43" s="113">
        <f>IF(AND(ABS(Apr!K44)&gt;קריטריונים!$B$2,Apr!B44&gt;קריטריונים!$B$3),Apr!K44,"")</f>
        <v>9.6719296586933901E-2</v>
      </c>
      <c r="AH43" s="113">
        <f>IF(AND(ABS(Apr!J44)&gt;קריטריונים!$B$2,Apr!B44&gt;קריטריונים!$B$3),Apr!J44,"")</f>
        <v>0.15860966839792234</v>
      </c>
      <c r="AI43" s="113">
        <f>IF(AND(ABS(Apr!F44)&gt;קריטריונים!$B$1,Apr!B44&gt;קריטריונים!$B$3),Apr!F44,"")</f>
        <v>0.14427860696517425</v>
      </c>
      <c r="AJ43" s="113">
        <f>IF(AND(ABS(Apr!E44)&gt;קריטריונים!$B$1,Apr!B44&gt;קריטריונים!$B$3),Apr!E44,"")</f>
        <v>0.56675749318801083</v>
      </c>
      <c r="AK43" s="113">
        <f>IF(AND(ABS(Mar!K44)&gt;קריטריונים!$B$2,Mar!B44&gt;קריטריונים!$B$3),Mar!K44,"")</f>
        <v>6.7561384779624811E-2</v>
      </c>
      <c r="AL43" s="113">
        <f>IF(AND(ABS(Mar!J44)&gt;קריטריונים!$B$2,Mar!B44&gt;קריטריונים!$B$3),Mar!J44,"")</f>
        <v>-1.0740531373657491E-2</v>
      </c>
      <c r="AM43" s="113">
        <f>IF(AND(ABS(Mar!F44)&gt;קריטריונים!$B$1,Mar!B44&gt;קריטריונים!$B$3),Mar!F44,"")</f>
        <v>-5.6603773584905537E-2</v>
      </c>
      <c r="AN43" s="113">
        <f>IF(AND(ABS(Mar!E44)&gt;קריטריונים!$B$1,Mar!B44&gt;קריטריונים!$B$3),Mar!E44,"")</f>
        <v>-0.14670167377748611</v>
      </c>
      <c r="AO43" s="113">
        <f>IF(AND(ABS(Feb!K44)&gt;קריטריונים!$B$2,Feb!B44&gt;קריטריונים!$B$3),Feb!K44,"")</f>
        <v>0.15759010786635108</v>
      </c>
      <c r="AP43" s="113">
        <f>IF(AND(ABS(Feb!J44)&gt;קריטריונים!$B$2,Feb!B44&gt;קריטריונים!$B$3),Feb!J44,"")</f>
        <v>9.208240258128586E-2</v>
      </c>
      <c r="AQ43" s="113">
        <f>IF(AND(ABS(Feb!F44)&gt;קריטריונים!$B$1,Feb!B44&gt;קריטריונים!$B$3),Feb!F44,"")</f>
        <v>0.17806977797915735</v>
      </c>
      <c r="AR43" s="113">
        <f>IF(AND(ABS(Feb!E44)&gt;קריטריונים!$B$1,Feb!B44&gt;קריטריונים!$B$3),Feb!E44,"")</f>
        <v>0.10874200426439229</v>
      </c>
      <c r="AS43" s="113">
        <f>IF(AND(ABS(Jan!F44)&gt;קריטריונים!$B$1,Jan!B44&gt;קריטריונים!$B$3),Jan!F44,"")</f>
        <v>0.12923462986198242</v>
      </c>
      <c r="AT43" s="103">
        <f>IF(AND(ABS(Jan!E44)&gt;קריטריונים!$B$1,Jan!B44&gt;קריטריונים!$B$3),Jan!E44,"")</f>
        <v>6.8883610451306421E-2</v>
      </c>
      <c r="AU43" s="118" t="s">
        <v>35</v>
      </c>
      <c r="AV43" s="4"/>
    </row>
    <row r="44" spans="1:48">
      <c r="A44" s="112" t="str">
        <f>IF(AND(ABS(Dec!K45)&gt;קריטריונים!$B$2,Dec!B45&gt;קריטריונים!$B$3),Dec!K45,"")</f>
        <v/>
      </c>
      <c r="B44" s="113" t="str">
        <f>IF(AND(ABS(Dec!J45)&gt;קריטריונים!$B$2,Dec!B45&gt;קריטריונים!$B$3),Dec!J45,"")</f>
        <v/>
      </c>
      <c r="C44" s="113" t="str">
        <f>IF(AND(ABS(Dec!F45)&gt;קריטריונים!$B$1,Dec!B45&gt;קריטריונים!$B$3),Dec!F45,"")</f>
        <v/>
      </c>
      <c r="D44" s="113" t="str">
        <f>IF(AND(ABS(Dec!E45)&gt;קריטריונים!$B$1,Dec!B45&gt;קריטריונים!$B$3),Dec!E45,"")</f>
        <v/>
      </c>
      <c r="E44" s="113">
        <f>IF(AND(ABS(Nov!K45)&gt;קריטריונים!$B$2,Nov!B45&gt;קריטריונים!$B$3),Nov!K45,"")</f>
        <v>4.6463725043035531E-2</v>
      </c>
      <c r="F44" s="113">
        <f>IF(AND(ABS(Nov!J45)&gt;קריטריונים!$B$2,Nov!B45&gt;קריטריונים!$B$3),Nov!J45,"")</f>
        <v>8.2074083089597183E-2</v>
      </c>
      <c r="G44" s="113">
        <f>IF(AND(ABS(Nov!F45)&gt;קריטריונים!$B$1,Nov!B45&gt;קריטריונים!$B$3),Nov!F45,"")</f>
        <v>0.31887094786145687</v>
      </c>
      <c r="H44" s="113">
        <f>IF(AND(ABS(Nov!E45)&gt;קריטריונים!$B$1,Nov!B45&gt;קריטריונים!$B$3),Nov!E45,"")</f>
        <v>-7.4710496824814676E-4</v>
      </c>
      <c r="I44" s="113">
        <f>IF(AND(ABS(Oct!K45)&gt;קריטריונים!$B$2,Oct!B45&gt;קריטריונים!$B$3),Oct!K45,"")</f>
        <v>2.9173609970192693E-2</v>
      </c>
      <c r="J44" s="113">
        <f>IF(AND(ABS(Oct!J45)&gt;קריטריונים!$B$2,Oct!B45&gt;קריטריונים!$B$3),Oct!J45,"")</f>
        <v>8.9418438541645218E-2</v>
      </c>
      <c r="K44" s="113">
        <f>IF(AND(ABS(Oct!F45)&gt;קריטריונים!$B$1,Oct!B45&gt;קריטריונים!$B$3),Oct!F45,"")</f>
        <v>0.34198977186173862</v>
      </c>
      <c r="L44" s="113">
        <f>IF(AND(ABS(Oct!E45)&gt;קריטריונים!$B$1,Oct!B45&gt;קריטריונים!$B$3),Oct!E45,"")</f>
        <v>0.45675026575849431</v>
      </c>
      <c r="M44" s="113">
        <f>IF(AND(ABS(Sep!K45)&gt;קריטריונים!$B$2,Sep!B45&gt;קריטריונים!$B$3),Sep!K45,"")</f>
        <v>-8.6420456787579258E-3</v>
      </c>
      <c r="N44" s="113">
        <f>IF(AND(ABS(Sep!J45)&gt;קריטריונים!$B$2,Sep!B45&gt;קריטריונים!$B$3),Sep!J45,"")</f>
        <v>4.624582380868647E-2</v>
      </c>
      <c r="O44" s="113">
        <f>IF(AND(ABS(Sep!F45)&gt;קריטריונים!$B$1,Sep!B45&gt;קריטריונים!$B$3),Sep!F45,"")</f>
        <v>-1.0225485055060379E-2</v>
      </c>
      <c r="P44" s="113">
        <f>IF(AND(ABS(Sep!E45)&gt;קריטריונים!$B$1,Sep!B45&gt;קריטריונים!$B$3),Sep!E45,"")</f>
        <v>-6.8016294284656387E-2</v>
      </c>
      <c r="Q44" s="113">
        <f>IF(AND(ABS(Aug!K45)&gt;קריטריונים!$B$2,Aug!B45&gt;קריטריונים!$B$3),Aug!K45,"")</f>
        <v>-8.5285341728731368E-3</v>
      </c>
      <c r="R44" s="113">
        <f>IF(AND(ABS(Aug!J45)&gt;קריטריונים!$B$2,Aug!B45&gt;קריטריונים!$B$3),Aug!J45,"")</f>
        <v>5.5506643188730553E-2</v>
      </c>
      <c r="S44" s="113">
        <f>IF(AND(ABS(Aug!F45)&gt;קריטריונים!$B$1,Aug!B45&gt;קריטריונים!$B$3),Aug!F45,"")</f>
        <v>-8.9125560538116599E-2</v>
      </c>
      <c r="T44" s="113">
        <f>IF(AND(ABS(Aug!E45)&gt;קריטריונים!$B$1,Aug!B45&gt;קריטריונים!$B$3),Aug!E45,"")</f>
        <v>5.1308363263213863E-4</v>
      </c>
      <c r="U44" s="113">
        <f>IF(AND(ABS(Jul!K45)&gt;קריטריונים!$B$2,Jul!B45&gt;קריטריונים!$B$3),Jul!K45,"")</f>
        <v>-0.19178629325940366</v>
      </c>
      <c r="V44" s="113">
        <f>IF(AND(ABS(Jul!J45)&gt;קריטריונים!$B$2,Jul!B45&gt;קריטריונים!$B$3),Jul!J45,"")</f>
        <v>6.8827521065844666E-2</v>
      </c>
      <c r="W44" s="113">
        <f>IF(AND(ABS(Jul!F45)&gt;קריטריונים!$B$1,Jul!B45&gt;קריטריונים!$B$3),Jul!F45,"")</f>
        <v>-0.18181579016600458</v>
      </c>
      <c r="X44" s="113">
        <f>IF(AND(ABS(Jul!E45)&gt;קריטריונים!$B$1,Jul!B45&gt;קריטריונים!$B$3),Jul!E45,"")</f>
        <v>-1.1505943678087771E-2</v>
      </c>
      <c r="Y44" s="113">
        <f>IF(AND(ABS(Jun!K45)&gt;קריטריונים!$B$2,Jun!B45&gt;קריטריונים!$B$3),Jun!K45,"")</f>
        <v>5.8753691360900584E-2</v>
      </c>
      <c r="Z44" s="113">
        <f>IF(AND(ABS(Jun!J45)&gt;קריטריונים!$B$2,Jun!B45&gt;קריטריונים!$B$3),Jun!J45,"")</f>
        <v>8.8350249494060007E-2</v>
      </c>
      <c r="AA44" s="113">
        <f>IF(AND(ABS(Jun!F45)&gt;קריטריונים!$B$1,Jun!B45&gt;קריטריונים!$B$3),Jun!F45,"")</f>
        <v>0.20402441035790853</v>
      </c>
      <c r="AB44" s="113">
        <f>IF(AND(ABS(Jun!E45)&gt;קריטריונים!$B$1,Jun!B45&gt;קריטריונים!$B$3),Jun!E45,"")</f>
        <v>5.2328095718610301E-2</v>
      </c>
      <c r="AC44" s="113">
        <f>IF(AND(ABS(May!K45)&gt;קריטריונים!$B$2,May!B45&gt;קריטריונים!$B$3),May!K45,"")</f>
        <v>4.5703389309220688E-2</v>
      </c>
      <c r="AD44" s="113">
        <f>IF(AND(ABS(May!J45)&gt;קריטריונים!$B$2,May!B45&gt;קריטריונים!$B$3),May!J45,"")</f>
        <v>9.5249928670697814E-2</v>
      </c>
      <c r="AE44" s="113">
        <f>IF(AND(ABS(May!F45)&gt;קריטריונים!$B$1,May!B45&gt;קריטריונים!$B$3),May!F45,"")</f>
        <v>5.0562801500803944E-2</v>
      </c>
      <c r="AF44" s="113">
        <f>IF(AND(ABS(May!E45)&gt;קריטריונים!$B$1,May!B45&gt;קריטריונים!$B$3),May!E45,"")</f>
        <v>0.20962764863196859</v>
      </c>
      <c r="AG44" s="113">
        <f>IF(AND(ABS(Apr!K45)&gt;קריטריונים!$B$2,Apr!B45&gt;קריטריונים!$B$3),Apr!K45,"")</f>
        <v>4.4118675274430696E-2</v>
      </c>
      <c r="AH44" s="113">
        <f>IF(AND(ABS(Apr!J45)&gt;קריטריונים!$B$2,Apr!B45&gt;קריטריונים!$B$3),Apr!J45,"")</f>
        <v>6.2291039290541139E-2</v>
      </c>
      <c r="AI44" s="113">
        <f>IF(AND(ABS(Apr!F45)&gt;קריטריונים!$B$1,Apr!B45&gt;קריטריונים!$B$3),Apr!F45,"")</f>
        <v>7.5137818658057354E-2</v>
      </c>
      <c r="AJ44" s="113">
        <f>IF(AND(ABS(Apr!E45)&gt;קריטריונים!$B$1,Apr!B45&gt;קריטריונים!$B$3),Apr!E45,"")</f>
        <v>8.5018749615786593E-2</v>
      </c>
      <c r="AK44" s="113">
        <f>IF(AND(ABS(Mar!K45)&gt;קריטריונים!$B$2,Mar!B45&gt;קריטריונים!$B$3),Mar!K45,"")</f>
        <v>2.4895717332628742E-2</v>
      </c>
      <c r="AL44" s="113">
        <f>IF(AND(ABS(Mar!J45)&gt;קריטריונים!$B$2,Mar!B45&gt;קריטריונים!$B$3),Mar!J45,"")</f>
        <v>4.8019763761290912E-2</v>
      </c>
      <c r="AM44" s="113">
        <f>IF(AND(ABS(Mar!F45)&gt;קריטריונים!$B$1,Mar!B45&gt;קריטריונים!$B$3),Mar!F45,"")</f>
        <v>-3.5323478594739721E-2</v>
      </c>
      <c r="AN44" s="113">
        <f>IF(AND(ABS(Mar!E45)&gt;קריטריונים!$B$1,Mar!B45&gt;קריטריונים!$B$3),Mar!E45,"")</f>
        <v>6.1302075083161878E-2</v>
      </c>
      <c r="AO44" s="113">
        <f>IF(AND(ABS(Feb!K45)&gt;קריטריונים!$B$2,Feb!B45&gt;קריטריונים!$B$3),Feb!K45,"")</f>
        <v>6.3929071395240289E-2</v>
      </c>
      <c r="AP44" s="113">
        <f>IF(AND(ABS(Feb!J45)&gt;קריטריונים!$B$2,Feb!B45&gt;קריטריונים!$B$3),Feb!J45,"")</f>
        <v>4.0367474827366134E-2</v>
      </c>
      <c r="AQ44" s="113">
        <f>IF(AND(ABS(Feb!F45)&gt;קריטריונים!$B$1,Feb!B45&gt;קריטריונים!$B$3),Feb!F45,"")</f>
        <v>1.114612237219581E-2</v>
      </c>
      <c r="AR44" s="113">
        <f>IF(AND(ABS(Feb!E45)&gt;קריטריונים!$B$1,Feb!B45&gt;קריטריונים!$B$3),Feb!E45,"")</f>
        <v>1.678883896902339E-2</v>
      </c>
      <c r="AS44" s="113">
        <f>IF(AND(ABS(Jan!F45)&gt;קריטריונים!$B$1,Jan!B45&gt;קריטריונים!$B$3),Jan!F45,"")</f>
        <v>0.16706487777981982</v>
      </c>
      <c r="AT44" s="103">
        <f>IF(AND(ABS(Jan!E45)&gt;קריטריונים!$B$1,Jan!B45&gt;קריטריונים!$B$3),Jan!E45,"")</f>
        <v>8.2878581173260635E-2</v>
      </c>
      <c r="AU44" s="118" t="s">
        <v>36</v>
      </c>
      <c r="AV44" s="95"/>
    </row>
    <row r="45" spans="1:48">
      <c r="A45" s="112" t="str">
        <f>IF(AND(ABS(Dec!K46)&gt;קריטריונים!$B$2,Dec!B46&gt;קריטריונים!$B$3),Dec!K46,"")</f>
        <v/>
      </c>
      <c r="B45" s="113" t="str">
        <f>IF(AND(ABS(Dec!J46)&gt;קריטריונים!$B$2,Dec!B46&gt;קריטריונים!$B$3),Dec!J46,"")</f>
        <v/>
      </c>
      <c r="C45" s="113" t="str">
        <f>IF(AND(ABS(Dec!F46)&gt;קריטריונים!$B$1,Dec!B46&gt;קריטריונים!$B$3),Dec!F46,"")</f>
        <v/>
      </c>
      <c r="D45" s="113" t="str">
        <f>IF(AND(ABS(Dec!E46)&gt;קריטריונים!$B$1,Dec!B46&gt;קריטריונים!$B$3),Dec!E46,"")</f>
        <v/>
      </c>
      <c r="E45" s="113">
        <f>IF(AND(ABS(Nov!K46)&gt;קריטריונים!$B$2,Nov!B46&gt;קריטריונים!$B$3),Nov!K46,"")</f>
        <v>0.20992213628087741</v>
      </c>
      <c r="F45" s="113">
        <f>IF(AND(ABS(Nov!J46)&gt;קריטריונים!$B$2,Nov!B46&gt;קריטריונים!$B$3),Nov!J46,"")</f>
        <v>0.31036122337673211</v>
      </c>
      <c r="G45" s="113">
        <f>IF(AND(ABS(Nov!F46)&gt;קריטריונים!$B$1,Nov!B46&gt;קריטריונים!$B$3),Nov!F46,"")</f>
        <v>1.2090729783037473</v>
      </c>
      <c r="H45" s="113">
        <f>IF(AND(ABS(Nov!E46)&gt;קריטריונים!$B$1,Nov!B46&gt;קריטריונים!$B$3),Nov!E46,"")</f>
        <v>0.46061554512258729</v>
      </c>
      <c r="I45" s="113">
        <f>IF(AND(ABS(Oct!K46)&gt;קריטריונים!$B$2,Oct!B46&gt;קריטריונים!$B$3),Oct!K46,"")</f>
        <v>0.13992787365453951</v>
      </c>
      <c r="J45" s="113">
        <f>IF(AND(ABS(Oct!J46)&gt;קריטריונים!$B$2,Oct!B46&gt;קריטריונים!$B$3),Oct!J46,"")</f>
        <v>0.29231347608828417</v>
      </c>
      <c r="K45" s="113">
        <f>IF(AND(ABS(Oct!F46)&gt;קריטריונים!$B$1,Oct!B46&gt;קריטריונים!$B$3),Oct!F46,"")</f>
        <v>0.38368405880657241</v>
      </c>
      <c r="L45" s="113">
        <f>IF(AND(ABS(Oct!E46)&gt;קריטריונים!$B$1,Oct!B46&gt;קריטריונים!$B$3),Oct!E46,"")</f>
        <v>0.71336783865786191</v>
      </c>
      <c r="M45" s="113">
        <f>IF(AND(ABS(Sep!K46)&gt;קריטריונים!$B$2,Sep!B46&gt;קריטריונים!$B$3),Sep!K46,"")</f>
        <v>0.11408267746618761</v>
      </c>
      <c r="N45" s="113">
        <f>IF(AND(ABS(Sep!J46)&gt;קריטריונים!$B$2,Sep!B46&gt;קריטריונים!$B$3),Sep!J46,"")</f>
        <v>0.25180300844838222</v>
      </c>
      <c r="O45" s="113">
        <f>IF(AND(ABS(Sep!F46)&gt;קריטריונים!$B$1,Sep!B46&gt;קריטריונים!$B$3),Sep!F46,"")</f>
        <v>0.36736554238833175</v>
      </c>
      <c r="P45" s="113">
        <f>IF(AND(ABS(Sep!E46)&gt;קריטריונים!$B$1,Sep!B46&gt;קריטריונים!$B$3),Sep!E46,"")</f>
        <v>1.736299511665762E-2</v>
      </c>
      <c r="Q45" s="113">
        <f>IF(AND(ABS(Aug!K46)&gt;קריטריונים!$B$2,Aug!B46&gt;קריטריונים!$B$3),Aug!K46,"")</f>
        <v>9.0909090909090606E-2</v>
      </c>
      <c r="R45" s="113">
        <f>IF(AND(ABS(Aug!J46)&gt;קריטריונים!$B$2,Aug!B46&gt;קריטריונים!$B$3),Aug!J46,"")</f>
        <v>0.28578169235608653</v>
      </c>
      <c r="S45" s="113">
        <f>IF(AND(ABS(Aug!F46)&gt;קריטריונים!$B$1,Aug!B46&gt;קריטריונים!$B$3),Aug!F46,"")</f>
        <v>6.4701653486698429E-3</v>
      </c>
      <c r="T45" s="113">
        <f>IF(AND(ABS(Aug!E46)&gt;קריטריונים!$B$1,Aug!B46&gt;קריטריונים!$B$3),Aug!E46,"")</f>
        <v>0.29330254041570436</v>
      </c>
      <c r="U45" s="113">
        <f>IF(AND(ABS(Jul!K46)&gt;קריטריונים!$B$2,Jul!B46&gt;קריטריונים!$B$3),Jul!K46,"")</f>
        <v>-9.5913261050875831E-2</v>
      </c>
      <c r="V45" s="113">
        <f>IF(AND(ABS(Jul!J46)&gt;קריטריונים!$B$2,Jul!B46&gt;קריטריונים!$B$3),Jul!J46,"")</f>
        <v>0.28423846080940152</v>
      </c>
      <c r="W45" s="113">
        <f>IF(AND(ABS(Jul!F46)&gt;קריטריונים!$B$1,Jul!B46&gt;קריטריונים!$B$3),Jul!F46,"")</f>
        <v>-1.403109594235874E-2</v>
      </c>
      <c r="X45" s="113">
        <f>IF(AND(ABS(Jul!E46)&gt;קריטריונים!$B$1,Jul!B46&gt;קריטריונים!$B$3),Jul!E46,"")</f>
        <v>0.30500250962021069</v>
      </c>
      <c r="Y45" s="113">
        <f>IF(AND(ABS(Jun!K46)&gt;קריטריונים!$B$2,Jun!B46&gt;קריטריונים!$B$3),Jun!K46,"")</f>
        <v>0.11233638586565653</v>
      </c>
      <c r="Z45" s="113">
        <f>IF(AND(ABS(Jun!J46)&gt;קריטריונים!$B$2,Jun!B46&gt;קריטריונים!$B$3),Jun!J46,"")</f>
        <v>0.28081265354569784</v>
      </c>
      <c r="AA45" s="113">
        <f>IF(AND(ABS(Jun!F46)&gt;קריטריונים!$B$1,Jun!B46&gt;קריטריונים!$B$3),Jun!F46,"")</f>
        <v>0.19705340699815843</v>
      </c>
      <c r="AB45" s="113">
        <f>IF(AND(ABS(Jun!E46)&gt;קריטריונים!$B$1,Jun!B46&gt;קריטריונים!$B$3),Jun!E46,"")</f>
        <v>0.25381771419385957</v>
      </c>
      <c r="AC45" s="113">
        <f>IF(AND(ABS(May!K46)&gt;קריטריונים!$B$2,May!B46&gt;קריטריונים!$B$3),May!K46,"")</f>
        <v>0.12225614188108724</v>
      </c>
      <c r="AD45" s="113">
        <f>IF(AND(ABS(May!J46)&gt;קריטריונים!$B$2,May!B46&gt;קריטריונים!$B$3),May!J46,"")</f>
        <v>0.28640938478970868</v>
      </c>
      <c r="AE45" s="113">
        <f>IF(AND(ABS(May!F46)&gt;קריטריונים!$B$1,May!B46&gt;קריטריונים!$B$3),May!F46,"")</f>
        <v>7.0460704607046232E-2</v>
      </c>
      <c r="AF45" s="113">
        <f>IF(AND(ABS(May!E46)&gt;קריטריונים!$B$1,May!B46&gt;קריטריונים!$B$3),May!E46,"")</f>
        <v>0.11251936346993396</v>
      </c>
      <c r="AG45" s="113">
        <f>IF(AND(ABS(Apr!K46)&gt;קריטריונים!$B$2,Apr!B46&gt;קריטריונים!$B$3),Apr!K46,"")</f>
        <v>0.13640570053673873</v>
      </c>
      <c r="AH45" s="113">
        <f>IF(AND(ABS(Apr!J46)&gt;קריטריונים!$B$2,Apr!B46&gt;קריטריונים!$B$3),Apr!J46,"")</f>
        <v>0.34031870770574102</v>
      </c>
      <c r="AI45" s="113">
        <f>IF(AND(ABS(Apr!F46)&gt;קריטריונים!$B$1,Apr!B46&gt;קריטריונים!$B$3),Apr!F46,"")</f>
        <v>0.28593040847201201</v>
      </c>
      <c r="AJ45" s="113">
        <f>IF(AND(ABS(Apr!E46)&gt;קריטריונים!$B$1,Apr!B46&gt;קריטריונים!$B$3),Apr!E46,"")</f>
        <v>0.47143681477207133</v>
      </c>
      <c r="AK45" s="113">
        <f>IF(AND(ABS(Mar!K46)&gt;קריטריונים!$B$2,Mar!B46&gt;קריטריונים!$B$3),Mar!K46,"")</f>
        <v>7.4254572132264496E-2</v>
      </c>
      <c r="AL45" s="113">
        <f>IF(AND(ABS(Mar!J46)&gt;קריטריונים!$B$2,Mar!B46&gt;קריטריונים!$B$3),Mar!J46,"")</f>
        <v>0.28341576410192215</v>
      </c>
      <c r="AM45" s="113">
        <f>IF(AND(ABS(Mar!F46)&gt;קריטריונים!$B$1,Mar!B46&gt;קריטריונים!$B$3),Mar!F46,"")</f>
        <v>0.14089347079037795</v>
      </c>
      <c r="AN45" s="113">
        <f>IF(AND(ABS(Mar!E46)&gt;קריטריונים!$B$1,Mar!B46&gt;קריטריונים!$B$3),Mar!E46,"")</f>
        <v>0.18826055833929844</v>
      </c>
      <c r="AO45" s="113">
        <f>IF(AND(ABS(Feb!K46)&gt;קריטריונים!$B$2,Feb!B46&gt;קריטריונים!$B$3),Feb!K46,"")</f>
        <v>3.3197831978319714E-2</v>
      </c>
      <c r="AP45" s="113">
        <f>IF(AND(ABS(Feb!J46)&gt;קריטריונים!$B$2,Feb!B46&gt;קריטריונים!$B$3),Feb!J46,"")</f>
        <v>0.35736537605696483</v>
      </c>
      <c r="AQ45" s="113">
        <f>IF(AND(ABS(Feb!F46)&gt;קריטריונים!$B$1,Feb!B46&gt;קריטריונים!$B$3),Feb!F46,"")</f>
        <v>2.3108131945669408E-2</v>
      </c>
      <c r="AR45" s="113">
        <f>IF(AND(ABS(Feb!E46)&gt;קריטריונים!$B$1,Feb!B46&gt;קריטריונים!$B$3),Feb!E46,"")</f>
        <v>0.25297040397494075</v>
      </c>
      <c r="AS45" s="113">
        <f>IF(AND(ABS(Jan!F46)&gt;קריטריונים!$B$1,Jan!B46&gt;קריטריונים!$B$3),Jan!F46,"")</f>
        <v>4.2515067600586542E-2</v>
      </c>
      <c r="AT45" s="103">
        <f>IF(AND(ABS(Jan!E46)&gt;קריטריונים!$B$1,Jan!B46&gt;קריטריונים!$B$3),Jan!E46,"")</f>
        <v>0.46822665749025005</v>
      </c>
      <c r="AU45" s="118" t="s">
        <v>37</v>
      </c>
      <c r="AV45" s="95"/>
    </row>
    <row r="46" spans="1:48">
      <c r="A46" s="112" t="str">
        <f>IF(AND(ABS(Dec!K47)&gt;קריטריונים!$B$2,Dec!B47&gt;קריטריונים!$B$3),Dec!K47,"")</f>
        <v/>
      </c>
      <c r="B46" s="113" t="str">
        <f>IF(AND(ABS(Dec!J47)&gt;קריטריונים!$B$2,Dec!B47&gt;קריטריונים!$B$3),Dec!J47,"")</f>
        <v/>
      </c>
      <c r="C46" s="113" t="str">
        <f>IF(AND(ABS(Dec!F47)&gt;קריטריונים!$B$1,Dec!B47&gt;קריטריונים!$B$3),Dec!F47,"")</f>
        <v/>
      </c>
      <c r="D46" s="113" t="str">
        <f>IF(AND(ABS(Dec!E47)&gt;קריטריונים!$B$1,Dec!B47&gt;קריטריונים!$B$3),Dec!E47,"")</f>
        <v/>
      </c>
      <c r="E46" s="113">
        <f>IF(AND(ABS(Nov!K47)&gt;קריטריונים!$B$2,Nov!B47&gt;קריטריונים!$B$3),Nov!K47,"")</f>
        <v>0.27620013522650422</v>
      </c>
      <c r="F46" s="113">
        <f>IF(AND(ABS(Nov!J47)&gt;קריטריונים!$B$2,Nov!B47&gt;קריטריונים!$B$3),Nov!J47,"")</f>
        <v>0.18713802772609345</v>
      </c>
      <c r="G46" s="113">
        <f>IF(AND(ABS(Nov!F47)&gt;קריטריונים!$B$1,Nov!B47&gt;קריטריונים!$B$3),Nov!F47,"")</f>
        <v>0.65464573610521826</v>
      </c>
      <c r="H46" s="113">
        <f>IF(AND(ABS(Nov!E47)&gt;קריטריונים!$B$1,Nov!B47&gt;קריטריונים!$B$3),Nov!E47,"")</f>
        <v>0.15078194157568614</v>
      </c>
      <c r="I46" s="113">
        <f>IF(AND(ABS(Oct!K47)&gt;קריטריונים!$B$2,Oct!B47&gt;קריטריונים!$B$3),Oct!K47,"")</f>
        <v>0.24928332176589496</v>
      </c>
      <c r="J46" s="113">
        <f>IF(AND(ABS(Oct!J47)&gt;קריטריונים!$B$2,Oct!B47&gt;קריטריונים!$B$3),Oct!J47,"")</f>
        <v>0.19068162208800699</v>
      </c>
      <c r="K46" s="113">
        <f>IF(AND(ABS(Oct!F47)&gt;קריטריונים!$B$1,Oct!B47&gt;קריטריונים!$B$3),Oct!F47,"")</f>
        <v>0.6662963785825371</v>
      </c>
      <c r="L46" s="113">
        <f>IF(AND(ABS(Oct!E47)&gt;קריטריונים!$B$1,Oct!B47&gt;קריטריונים!$B$3),Oct!E47,"")</f>
        <v>0.43678160919540243</v>
      </c>
      <c r="M46" s="113">
        <f>IF(AND(ABS(Sep!K47)&gt;קריטריונים!$B$2,Sep!B47&gt;קריטריונים!$B$3),Sep!K47,"")</f>
        <v>0.18374188141629988</v>
      </c>
      <c r="N46" s="113">
        <f>IF(AND(ABS(Sep!J47)&gt;קריטריונים!$B$2,Sep!B47&gt;קריטריונים!$B$3),Sep!J47,"")</f>
        <v>0.14720812182741128</v>
      </c>
      <c r="O46" s="113">
        <f>IF(AND(ABS(Sep!F47)&gt;קריטריונים!$B$1,Sep!B47&gt;קריטריונים!$B$3),Sep!F47,"")</f>
        <v>0.22986822840409959</v>
      </c>
      <c r="P46" s="113">
        <f>IF(AND(ABS(Sep!E47)&gt;קריטריונים!$B$1,Sep!B47&gt;קריטריונים!$B$3),Sep!E47,"")</f>
        <v>9.1302258529553093E-3</v>
      </c>
      <c r="Q46" s="113">
        <f>IF(AND(ABS(Aug!K47)&gt;קריטריונים!$B$2,Aug!B47&gt;קריטריונים!$B$3),Aug!K47,"")</f>
        <v>0.17749672917575232</v>
      </c>
      <c r="R46" s="113">
        <f>IF(AND(ABS(Aug!J47)&gt;קריטריונים!$B$2,Aug!B47&gt;קריטריונים!$B$3),Aug!J47,"")</f>
        <v>0.16984402079722716</v>
      </c>
      <c r="S46" s="113">
        <f>IF(AND(ABS(Aug!F47)&gt;קריטריונים!$B$1,Aug!B47&gt;קריטריונים!$B$3),Aug!F47,"")</f>
        <v>4.5946955547254253E-2</v>
      </c>
      <c r="T46" s="113">
        <f>IF(AND(ABS(Aug!E47)&gt;קריטריונים!$B$1,Aug!B47&gt;קריטריונים!$B$3),Aug!E47,"")</f>
        <v>0.24610591900311518</v>
      </c>
      <c r="U46" s="113">
        <f>IF(AND(ABS(Jul!K47)&gt;קריטריונים!$B$2,Jul!B47&gt;קריטריונים!$B$3),Jul!K47,"")</f>
        <v>6.6486936526186424E-2</v>
      </c>
      <c r="V46" s="113">
        <f>IF(AND(ABS(Jul!J47)&gt;קריטריונים!$B$2,Jul!B47&gt;קריטריונים!$B$3),Jul!J47,"")</f>
        <v>0.1624389611512036</v>
      </c>
      <c r="W46" s="113">
        <f>IF(AND(ABS(Jul!F47)&gt;קריטריונים!$B$1,Jul!B47&gt;קריטריונים!$B$3),Jul!F47,"")</f>
        <v>7.2893657305143522E-2</v>
      </c>
      <c r="X46" s="113">
        <f>IF(AND(ABS(Jul!E47)&gt;קריטריונים!$B$1,Jul!B47&gt;קריטריונים!$B$3),Jul!E47,"")</f>
        <v>-5.8479532163743242E-3</v>
      </c>
      <c r="Y46" s="113">
        <f>IF(AND(ABS(Jun!K47)&gt;קריטריונים!$B$2,Jun!B47&gt;קריטריונים!$B$3),Jun!K47,"")</f>
        <v>0.19059681831999198</v>
      </c>
      <c r="Z46" s="113">
        <f>IF(AND(ABS(Jun!J47)&gt;קריטריונים!$B$2,Jun!B47&gt;קריטריונים!$B$3),Jun!J47,"")</f>
        <v>0.19162314284265514</v>
      </c>
      <c r="AA46" s="113">
        <f>IF(AND(ABS(Jun!F47)&gt;קריטריונים!$B$1,Jun!B47&gt;קריטריונים!$B$3),Jun!F47,"")</f>
        <v>0.22365737593473822</v>
      </c>
      <c r="AB46" s="113">
        <f>IF(AND(ABS(Jun!E47)&gt;קריטריונים!$B$1,Jun!B47&gt;קריטריונים!$B$3),Jun!E47,"")</f>
        <v>0.2084592145015105</v>
      </c>
      <c r="AC46" s="113">
        <f>IF(AND(ABS(May!K47)&gt;קריטריונים!$B$2,May!B47&gt;קריטריונים!$B$3),May!K47,"")</f>
        <v>0.21083054456951622</v>
      </c>
      <c r="AD46" s="113">
        <f>IF(AND(ABS(May!J47)&gt;קריטריונים!$B$2,May!B47&gt;קריטריונים!$B$3),May!J47,"")</f>
        <v>0.18862740413331758</v>
      </c>
      <c r="AE46" s="113">
        <f>IF(AND(ABS(May!F47)&gt;קריטריונים!$B$1,May!B47&gt;קריטריונים!$B$3),May!F47,"")</f>
        <v>0.15634786798361833</v>
      </c>
      <c r="AF46" s="113">
        <f>IF(AND(ABS(May!E47)&gt;קריטריונים!$B$1,May!B47&gt;קריטריונים!$B$3),May!E47,"")</f>
        <v>0.10016044006417579</v>
      </c>
      <c r="AG46" s="113">
        <f>IF(AND(ABS(Apr!K47)&gt;קריטריונים!$B$2,Apr!B47&gt;קריטריונים!$B$3),Apr!K47,"")</f>
        <v>0.22924128948225331</v>
      </c>
      <c r="AH46" s="113">
        <f>IF(AND(ABS(Apr!J47)&gt;קריטריונים!$B$2,Apr!B47&gt;קריטריונים!$B$3),Apr!J47,"")</f>
        <v>0.21980773891267491</v>
      </c>
      <c r="AI46" s="113">
        <f>IF(AND(ABS(Apr!F47)&gt;קריטריונים!$B$1,Apr!B47&gt;קריטריונים!$B$3),Apr!F47,"")</f>
        <v>0.20216389501101983</v>
      </c>
      <c r="AJ46" s="113">
        <f>IF(AND(ABS(Apr!E47)&gt;קריטריונים!$B$1,Apr!B47&gt;קריטריונים!$B$3),Apr!E47,"")</f>
        <v>0.4958863126402393</v>
      </c>
      <c r="AK46" s="113">
        <f>IF(AND(ABS(Mar!K47)&gt;קריטריונים!$B$2,Mar!B47&gt;קריטריונים!$B$3),Mar!K47,"")</f>
        <v>0.24777183600713015</v>
      </c>
      <c r="AL46" s="113">
        <f>IF(AND(ABS(Mar!J47)&gt;קריטריונים!$B$2,Mar!B47&gt;קריטריונים!$B$3),Mar!J47,"")</f>
        <v>8.7476099426386345E-2</v>
      </c>
      <c r="AM46" s="113">
        <f>IF(AND(ABS(Mar!F47)&gt;קריטריונים!$B$1,Mar!B47&gt;קריטריונים!$B$3),Mar!F47,"")</f>
        <v>0.19739993157714686</v>
      </c>
      <c r="AN46" s="113">
        <f>IF(AND(ABS(Mar!E47)&gt;קריטריונים!$B$1,Mar!B47&gt;קריטריונים!$B$3),Mar!E47,"")</f>
        <v>2.100350058343059E-2</v>
      </c>
      <c r="AO46" s="113">
        <f>IF(AND(ABS(Feb!K47)&gt;קריטריונים!$B$2,Feb!B47&gt;קריטריונים!$B$3),Feb!K47,"")</f>
        <v>0.28146453089244838</v>
      </c>
      <c r="AP46" s="113">
        <f>IF(AND(ABS(Feb!J47)&gt;קריטריונים!$B$2,Feb!B47&gt;קריטריונים!$B$3),Feb!J47,"")</f>
        <v>0.1336032388663968</v>
      </c>
      <c r="AQ46" s="113">
        <f>IF(AND(ABS(Feb!F47)&gt;קריטריונים!$B$1,Feb!B47&gt;קריטריונים!$B$3),Feb!F47,"")</f>
        <v>0.28454651615414561</v>
      </c>
      <c r="AR46" s="113">
        <f>IF(AND(ABS(Feb!E47)&gt;קריטריונים!$B$1,Feb!B47&gt;קריטריונים!$B$3),Feb!E47,"")</f>
        <v>0.10701107011070099</v>
      </c>
      <c r="AS46" s="113">
        <f>IF(AND(ABS(Jan!F47)&gt;קריטריונים!$B$1,Jan!B47&gt;קריטריונים!$B$3),Jan!F47,"")</f>
        <v>0.27706829539144917</v>
      </c>
      <c r="AT46" s="103">
        <f>IF(AND(ABS(Jan!E47)&gt;קריטריונים!$B$1,Jan!B47&gt;קריטריונים!$B$3),Jan!E47,"")</f>
        <v>0.1740684022460437</v>
      </c>
      <c r="AU46" s="118" t="s">
        <v>38</v>
      </c>
      <c r="AV46" s="4"/>
    </row>
    <row r="47" spans="1:48">
      <c r="A47" s="112" t="str">
        <f>IF(AND(ABS(Dec!K48)&gt;קריטריונים!$B$2,Dec!B48&gt;קריטריונים!$B$3),Dec!K48,"")</f>
        <v/>
      </c>
      <c r="B47" s="113" t="str">
        <f>IF(AND(ABS(Dec!J48)&gt;קריטריונים!$B$2,Dec!B48&gt;קריטריונים!$B$3),Dec!J48,"")</f>
        <v/>
      </c>
      <c r="C47" s="113" t="str">
        <f>IF(AND(ABS(Dec!F48)&gt;קריטריונים!$B$1,Dec!B48&gt;קריטריונים!$B$3),Dec!F48,"")</f>
        <v/>
      </c>
      <c r="D47" s="113" t="str">
        <f>IF(AND(ABS(Dec!E48)&gt;קריטריונים!$B$1,Dec!B48&gt;קריטריונים!$B$3),Dec!E48,"")</f>
        <v/>
      </c>
      <c r="E47" s="113">
        <f>IF(AND(ABS(Nov!K48)&gt;קריטריונים!$B$2,Nov!B48&gt;קריטריונים!$B$3),Nov!K48,"")</f>
        <v>0.35527135574030755</v>
      </c>
      <c r="F47" s="113">
        <f>IF(AND(ABS(Nov!J48)&gt;קריטריונים!$B$2,Nov!B48&gt;קריטריונים!$B$3),Nov!J48,"")</f>
        <v>0.33665459735179826</v>
      </c>
      <c r="G47" s="113">
        <f>IF(AND(ABS(Nov!F48)&gt;קריטריונים!$B$1,Nov!B48&gt;קריטריונים!$B$3),Nov!F48,"")</f>
        <v>0.78571428571428559</v>
      </c>
      <c r="H47" s="113">
        <f>IF(AND(ABS(Nov!E48)&gt;קריטריונים!$B$1,Nov!B48&gt;קריטריונים!$B$3),Nov!E48,"")</f>
        <v>0.47881694644284556</v>
      </c>
      <c r="I47" s="113">
        <f>IF(AND(ABS(Oct!K48)&gt;קריטריונים!$B$2,Oct!B48&gt;קריטריונים!$B$3),Oct!K48,"")</f>
        <v>0.31616448767511707</v>
      </c>
      <c r="J47" s="113">
        <f>IF(AND(ABS(Oct!J48)&gt;קריטריונים!$B$2,Oct!B48&gt;קריטריונים!$B$3),Oct!J48,"")</f>
        <v>0.32100105621405928</v>
      </c>
      <c r="K47" s="113">
        <f>IF(AND(ABS(Oct!F48)&gt;קריטריונים!$B$1,Oct!B48&gt;קריטריונים!$B$3),Oct!F48,"")</f>
        <v>0.47578649699540465</v>
      </c>
      <c r="L47" s="113">
        <f>IF(AND(ABS(Oct!E48)&gt;קריטריונים!$B$1,Oct!B48&gt;קריטריונים!$B$3),Oct!E48,"")</f>
        <v>0.73137732621429663</v>
      </c>
      <c r="M47" s="113">
        <f>IF(AND(ABS(Sep!K48)&gt;קריטריונים!$B$2,Sep!B48&gt;קריטריונים!$B$3),Sep!K48,"")</f>
        <v>0.28453220086686204</v>
      </c>
      <c r="N47" s="113">
        <f>IF(AND(ABS(Sep!J48)&gt;קריטריונים!$B$2,Sep!B48&gt;קריטריונים!$B$3),Sep!J48,"")</f>
        <v>0.25336409073433264</v>
      </c>
      <c r="O47" s="113">
        <f>IF(AND(ABS(Sep!F48)&gt;קריטריונים!$B$1,Sep!B48&gt;קריטריונים!$B$3),Sep!F48,"")</f>
        <v>0.37952176578786023</v>
      </c>
      <c r="P47" s="113">
        <f>IF(AND(ABS(Sep!E48)&gt;קריטריונים!$B$1,Sep!B48&gt;קריטריונים!$B$3),Sep!E48,"")</f>
        <v>4.9073318568597646E-2</v>
      </c>
      <c r="Q47" s="113">
        <f>IF(AND(ABS(Aug!K48)&gt;קריטריונים!$B$2,Aug!B48&gt;קריטריונים!$B$3),Aug!K48,"")</f>
        <v>0.27227972359797148</v>
      </c>
      <c r="R47" s="113">
        <f>IF(AND(ABS(Aug!J48)&gt;קריטריונים!$B$2,Aug!B48&gt;קריטריונים!$B$3),Aug!J48,"")</f>
        <v>0.28845595522940903</v>
      </c>
      <c r="S47" s="113">
        <f>IF(AND(ABS(Aug!F48)&gt;קריטריונים!$B$1,Aug!B48&gt;קריטריונים!$B$3),Aug!F48,"")</f>
        <v>1.1522561351042349E-2</v>
      </c>
      <c r="T47" s="113">
        <f>IF(AND(ABS(Aug!E48)&gt;קריטריונים!$B$1,Aug!B48&gt;קריטריונים!$B$3),Aug!E48,"")</f>
        <v>0.2084909625893232</v>
      </c>
      <c r="U47" s="113">
        <f>IF(AND(ABS(Jul!K48)&gt;קריטריונים!$B$2,Jul!B48&gt;קריטריונים!$B$3),Jul!K48,"")</f>
        <v>0.15859505521120631</v>
      </c>
      <c r="V47" s="113">
        <f>IF(AND(ABS(Jul!J48)&gt;קריטריונים!$B$2,Jul!B48&gt;קריטריונים!$B$3),Jul!J48,"")</f>
        <v>0.29687621028869882</v>
      </c>
      <c r="W47" s="113">
        <f>IF(AND(ABS(Jul!F48)&gt;קריטריונים!$B$1,Jul!B48&gt;קריטריונים!$B$3),Jul!F48,"")</f>
        <v>0.18838885641924796</v>
      </c>
      <c r="X47" s="113">
        <f>IF(AND(ABS(Jul!E48)&gt;קריטריונים!$B$1,Jul!B48&gt;קריטריונים!$B$3),Jul!E48,"")</f>
        <v>0.30119453924914685</v>
      </c>
      <c r="Y47" s="113">
        <f>IF(AND(ABS(Jun!K48)&gt;קריטריונים!$B$2,Jun!B48&gt;קריטריונים!$B$3),Jun!K48,"")</f>
        <v>0.16231444480113355</v>
      </c>
      <c r="Z47" s="113">
        <f>IF(AND(ABS(Jun!J48)&gt;קריטריונים!$B$2,Jun!B48&gt;קריטריונים!$B$3),Jun!J48,"")</f>
        <v>0.2963763195258966</v>
      </c>
      <c r="AA47" s="113">
        <f>IF(AND(ABS(Jun!F48)&gt;קריטריונים!$B$1,Jun!B48&gt;קריטריונים!$B$3),Jun!F48,"")</f>
        <v>0.53538657218133912</v>
      </c>
      <c r="AB47" s="113">
        <f>IF(AND(ABS(Jun!E48)&gt;קריטריונים!$B$1,Jun!B48&gt;קריטריונים!$B$3),Jun!E48,"")</f>
        <v>0.61228773134897918</v>
      </c>
      <c r="AC47" s="113">
        <f>IF(AND(ABS(May!K48)&gt;קריטריונים!$B$2,May!B48&gt;קריטריונים!$B$3),May!K48,"")</f>
        <v>0.28584981390936282</v>
      </c>
      <c r="AD47" s="113">
        <f>IF(AND(ABS(May!J48)&gt;קריטריונים!$B$2,May!B48&gt;קריטריונים!$B$3),May!J48,"")</f>
        <v>0.24941500148908702</v>
      </c>
      <c r="AE47" s="113">
        <f>IF(AND(ABS(May!F48)&gt;קריטריונים!$B$1,May!B48&gt;קריטריונים!$B$3),May!F48,"")</f>
        <v>7.0844840218677874E-2</v>
      </c>
      <c r="AF47" s="113">
        <f>IF(AND(ABS(May!E48)&gt;קריטריונים!$B$1,May!B48&gt;קריטריונים!$B$3),May!E48,"")</f>
        <v>7.7437148615677742E-3</v>
      </c>
      <c r="AG47" s="113">
        <f>IF(AND(ABS(Apr!K48)&gt;קריטריונים!$B$2,Apr!B48&gt;קריטריונים!$B$3),Apr!K48,"")</f>
        <v>0.36098637044039994</v>
      </c>
      <c r="AH47" s="113">
        <f>IF(AND(ABS(Apr!J48)&gt;קריטריונים!$B$2,Apr!B48&gt;קריטריונים!$B$3),Apr!J48,"")</f>
        <v>0.33761784006659035</v>
      </c>
      <c r="AI47" s="113">
        <f>IF(AND(ABS(Apr!F48)&gt;קריטריונים!$B$1,Apr!B48&gt;קריטריונים!$B$3),Apr!F48,"")</f>
        <v>0.56585156585156571</v>
      </c>
      <c r="AJ47" s="113">
        <f>IF(AND(ABS(Apr!E48)&gt;קריטריונים!$B$1,Apr!B48&gt;קריטריונים!$B$3),Apr!E48,"")</f>
        <v>0.67009837565774411</v>
      </c>
      <c r="AK47" s="113">
        <f>IF(AND(ABS(Mar!K48)&gt;קריטריונים!$B$2,Mar!B48&gt;קריטריונים!$B$3),Mar!K48,"")</f>
        <v>0.28309683031588118</v>
      </c>
      <c r="AL47" s="113">
        <f>IF(AND(ABS(Mar!J48)&gt;קריטריונים!$B$2,Mar!B48&gt;קריטריונים!$B$3),Mar!J48,"")</f>
        <v>0.22451097390131269</v>
      </c>
      <c r="AM47" s="113">
        <f>IF(AND(ABS(Mar!F48)&gt;קריטריונים!$B$1,Mar!B48&gt;קריטריונים!$B$3),Mar!F48,"")</f>
        <v>0.26702388926099574</v>
      </c>
      <c r="AN47" s="113">
        <f>IF(AND(ABS(Mar!E48)&gt;קריטריונים!$B$1,Mar!B48&gt;קריטריונים!$B$3),Mar!E48,"")</f>
        <v>0.16823632340075134</v>
      </c>
      <c r="AO47" s="113">
        <f>IF(AND(ABS(Feb!K48)&gt;קריטריונים!$B$2,Feb!B48&gt;קריטריונים!$B$3),Feb!K48,"")</f>
        <v>0.29835718071012196</v>
      </c>
      <c r="AP47" s="113">
        <f>IF(AND(ABS(Feb!J48)&gt;קריטריונים!$B$2,Feb!B48&gt;קריטריונים!$B$3),Feb!J48,"")</f>
        <v>0.28171592989798566</v>
      </c>
      <c r="AQ47" s="113">
        <f>IF(AND(ABS(Feb!F48)&gt;קריטריונים!$B$1,Feb!B48&gt;קריטריונים!$B$3),Feb!F48,"")</f>
        <v>0.28053917438921649</v>
      </c>
      <c r="AR47" s="113">
        <f>IF(AND(ABS(Feb!E48)&gt;קריטריונים!$B$1,Feb!B48&gt;קריטריונים!$B$3),Feb!E48,"")</f>
        <v>0.28140279885348174</v>
      </c>
      <c r="AS47" s="113">
        <f>IF(AND(ABS(Jan!F48)&gt;קריטריונים!$B$1,Jan!B48&gt;קריטריונים!$B$3),Jan!F48,"")</f>
        <v>0.32857142857142874</v>
      </c>
      <c r="AT47" s="103">
        <f>IF(AND(ABS(Jan!E48)&gt;קריטריונים!$B$1,Jan!B48&gt;קריטריונים!$B$3),Jan!E48,"")</f>
        <v>0.28222804356817877</v>
      </c>
      <c r="AU47" s="118" t="s">
        <v>39</v>
      </c>
      <c r="AV47" s="4"/>
    </row>
    <row r="48" spans="1:48">
      <c r="A48" s="112" t="str">
        <f>IF(AND(ABS(Dec!K49)&gt;קריטריונים!$B$2,Dec!B49&gt;קריטריונים!$B$3),Dec!K49,"")</f>
        <v/>
      </c>
      <c r="B48" s="113" t="str">
        <f>IF(AND(ABS(Dec!J49)&gt;קריטריונים!$B$2,Dec!B49&gt;קריטריונים!$B$3),Dec!J49,"")</f>
        <v/>
      </c>
      <c r="C48" s="113" t="str">
        <f>IF(AND(ABS(Dec!F49)&gt;קריטריונים!$B$1,Dec!B49&gt;קריטריונים!$B$3),Dec!F49,"")</f>
        <v/>
      </c>
      <c r="D48" s="113" t="str">
        <f>IF(AND(ABS(Dec!E49)&gt;קריטריונים!$B$1,Dec!B49&gt;קריטריונים!$B$3),Dec!E49,"")</f>
        <v/>
      </c>
      <c r="E48" s="113">
        <f>IF(AND(ABS(Nov!K49)&gt;קריטריונים!$B$2,Nov!B49&gt;קריטריונים!$B$3),Nov!K49,"")</f>
        <v>0.25943396226415127</v>
      </c>
      <c r="F48" s="113">
        <f>IF(AND(ABS(Nov!J49)&gt;קריטריונים!$B$2,Nov!B49&gt;קריטריונים!$B$3),Nov!J49,"")</f>
        <v>0.21573627174210031</v>
      </c>
      <c r="G48" s="113">
        <f>IF(AND(ABS(Nov!F49)&gt;קריטריונים!$B$1,Nov!B49&gt;קריטריונים!$B$3),Nov!F49,"")</f>
        <v>0.2849162011173183</v>
      </c>
      <c r="H48" s="113">
        <f>IF(AND(ABS(Nov!E49)&gt;קריטריונים!$B$1,Nov!B49&gt;קריטריונים!$B$3),Nov!E49,"")</f>
        <v>-0.14018691588785048</v>
      </c>
      <c r="I48" s="113">
        <f>IF(AND(ABS(Oct!K49)&gt;קריטריונים!$B$2,Oct!B49&gt;קריטריונים!$B$3),Oct!K49,"")</f>
        <v>0.25708397733127275</v>
      </c>
      <c r="J48" s="113">
        <f>IF(AND(ABS(Oct!J49)&gt;קריטריונים!$B$2,Oct!B49&gt;קריטריונים!$B$3),Oct!J49,"")</f>
        <v>0.26510084512884369</v>
      </c>
      <c r="K48" s="113">
        <f>IF(AND(ABS(Oct!F49)&gt;קריטריונים!$B$1,Oct!B49&gt;קריטריונים!$B$3),Oct!F49,"")</f>
        <v>0.76384125428711425</v>
      </c>
      <c r="L48" s="113">
        <f>IF(AND(ABS(Oct!E49)&gt;קריטריונים!$B$1,Oct!B49&gt;קריטריונים!$B$3),Oct!E49,"")</f>
        <v>0.74927113702623926</v>
      </c>
      <c r="M48" s="113">
        <f>IF(AND(ABS(Sep!K49)&gt;קריטריונים!$B$2,Sep!B49&gt;קריטריונים!$B$3),Sep!K49,"")</f>
        <v>0.197535839714434</v>
      </c>
      <c r="N48" s="113">
        <f>IF(AND(ABS(Sep!J49)&gt;קריטריונים!$B$2,Sep!B49&gt;קריטריונים!$B$3),Sep!J49,"")</f>
        <v>0.20726681757501919</v>
      </c>
      <c r="O48" s="113">
        <f>IF(AND(ABS(Sep!F49)&gt;קריטריונים!$B$1,Sep!B49&gt;קריטריונים!$B$3),Sep!F49,"")</f>
        <v>0.14285714285714279</v>
      </c>
      <c r="P48" s="113">
        <f>IF(AND(ABS(Sep!E49)&gt;קריטריונים!$B$1,Sep!B49&gt;קריטריונים!$B$3),Sep!E49,"")</f>
        <v>-2.5815879201169012E-2</v>
      </c>
      <c r="Q48" s="113">
        <f>IF(AND(ABS(Aug!K49)&gt;קריטריונים!$B$2,Aug!B49&gt;קריטריונים!$B$3),Aug!K49,"")</f>
        <v>0.20366220628721465</v>
      </c>
      <c r="R48" s="113">
        <f>IF(AND(ABS(Aug!J49)&gt;קריטריונים!$B$2,Aug!B49&gt;קריטריונים!$B$3),Aug!J49,"")</f>
        <v>0.23879810226673714</v>
      </c>
      <c r="S48" s="113">
        <f>IF(AND(ABS(Aug!F49)&gt;קריטריונים!$B$1,Aug!B49&gt;קריטריונים!$B$3),Aug!F49,"")</f>
        <v>0.11669458403126742</v>
      </c>
      <c r="T48" s="113">
        <f>IF(AND(ABS(Aug!E49)&gt;קריטריונים!$B$1,Aug!B49&gt;קריטריונים!$B$3),Aug!E49,"")</f>
        <v>0.26422250316055629</v>
      </c>
      <c r="U48" s="113">
        <f>IF(AND(ABS(Jul!K49)&gt;קריטריונים!$B$2,Jul!B49&gt;קריטריונים!$B$3),Jul!K49,"")</f>
        <v>7.5613035405595941E-2</v>
      </c>
      <c r="V48" s="113">
        <f>IF(AND(ABS(Jul!J49)&gt;קריטריונים!$B$2,Jul!B49&gt;קריטריונים!$B$3),Jul!J49,"")</f>
        <v>0.23583934088568514</v>
      </c>
      <c r="W48" s="113">
        <f>IF(AND(ABS(Jul!F49)&gt;קריטריונים!$B$1,Jul!B49&gt;קריטריונים!$B$3),Jul!F49,"")</f>
        <v>6.1678463094034353E-2</v>
      </c>
      <c r="X48" s="113">
        <f>IF(AND(ABS(Jul!E49)&gt;קריטריונים!$B$1,Jul!B49&gt;קריטריונים!$B$3),Jul!E49,"")</f>
        <v>8.4150748580278822E-2</v>
      </c>
      <c r="Y48" s="113">
        <f>IF(AND(ABS(Jun!K49)&gt;קריטריונים!$B$2,Jun!B49&gt;קריטריונים!$B$3),Jun!K49,"")</f>
        <v>0.1585750315258514</v>
      </c>
      <c r="Z48" s="113">
        <f>IF(AND(ABS(Jun!J49)&gt;קריטריונים!$B$2,Jun!B49&gt;קריטריונים!$B$3),Jun!J49,"")</f>
        <v>0.26104486574590391</v>
      </c>
      <c r="AA48" s="113">
        <f>IF(AND(ABS(Jun!F49)&gt;קריטריונים!$B$1,Jun!B49&gt;קריטריונים!$B$3),Jun!F49,"")</f>
        <v>0.1879049676025919</v>
      </c>
      <c r="AB48" s="113">
        <f>IF(AND(ABS(Jun!E49)&gt;קריטריונים!$B$1,Jun!B49&gt;קריטריונים!$B$3),Jun!E49,"")</f>
        <v>0.39593908629441632</v>
      </c>
      <c r="AC48" s="113">
        <f>IF(AND(ABS(May!K49)&gt;קריטריונים!$B$2,May!B49&gt;קריטריונים!$B$3),May!K49,"")</f>
        <v>0.25025005001000222</v>
      </c>
      <c r="AD48" s="113">
        <f>IF(AND(ABS(May!J49)&gt;קריטריונים!$B$2,May!B49&gt;קריטריונים!$B$3),May!J49,"")</f>
        <v>0.2399563535363558</v>
      </c>
      <c r="AE48" s="113">
        <f>IF(AND(ABS(May!F49)&gt;קריטריונים!$B$1,May!B49&gt;קריטריונים!$B$3),May!F49,"")</f>
        <v>4.1666666666666741E-2</v>
      </c>
      <c r="AF48" s="113">
        <f>IF(AND(ABS(May!E49)&gt;קריטריונים!$B$1,May!B49&gt;קריטריונים!$B$3),May!E49,"")</f>
        <v>1.5228426395939021E-2</v>
      </c>
      <c r="AG48" s="113">
        <f>IF(AND(ABS(Apr!K49)&gt;קריטריונים!$B$2,Apr!B49&gt;קריטריונים!$B$3),Apr!K49,"")</f>
        <v>0.31271120353522242</v>
      </c>
      <c r="AH48" s="113">
        <f>IF(AND(ABS(Apr!J49)&gt;קריטריונים!$B$2,Apr!B49&gt;קריטריונים!$B$3),Apr!J49,"")</f>
        <v>0.3087987559932619</v>
      </c>
      <c r="AI48" s="113">
        <f>IF(AND(ABS(Apr!F49)&gt;קריטריונים!$B$1,Apr!B49&gt;קריטריונים!$B$3),Apr!F49,"")</f>
        <v>0.59840159840159868</v>
      </c>
      <c r="AJ48" s="113">
        <f>IF(AND(ABS(Apr!E49)&gt;קריטריונים!$B$1,Apr!B49&gt;קריטריונים!$B$3),Apr!E49,"")</f>
        <v>0.75920835623969229</v>
      </c>
      <c r="AK48" s="113">
        <f>IF(AND(ABS(Mar!K49)&gt;קריטריונים!$B$2,Mar!B49&gt;קריטריונים!$B$3),Mar!K49,"")</f>
        <v>0.21222768798313418</v>
      </c>
      <c r="AL48" s="113">
        <f>IF(AND(ABS(Mar!J49)&gt;קריטריונים!$B$2,Mar!B49&gt;קריטריונים!$B$3),Mar!J49,"")</f>
        <v>0.16988809766022395</v>
      </c>
      <c r="AM48" s="113">
        <f>IF(AND(ABS(Mar!F49)&gt;קריטריונים!$B$1,Mar!B49&gt;קריטריונים!$B$3),Mar!F49,"")</f>
        <v>9.3135111499781376E-2</v>
      </c>
      <c r="AN48" s="113">
        <f>IF(AND(ABS(Mar!E49)&gt;קריטריונים!$B$1,Mar!B49&gt;קריטריונים!$B$3),Mar!E49,"")</f>
        <v>3.5196687370600444E-2</v>
      </c>
      <c r="AO48" s="113">
        <f>IF(AND(ABS(Feb!K49)&gt;קריטריונים!$B$2,Feb!B49&gt;קריטריונים!$B$3),Feb!K49,"")</f>
        <v>0.29221732745961848</v>
      </c>
      <c r="AP48" s="113">
        <f>IF(AND(ABS(Feb!J49)&gt;קריטריונים!$B$2,Feb!B49&gt;קריטריונים!$B$3),Feb!J49,"")</f>
        <v>0.26327878265862781</v>
      </c>
      <c r="AQ48" s="113">
        <f>IF(AND(ABS(Feb!F49)&gt;קריטריונים!$B$1,Feb!B49&gt;קריטריונים!$B$3),Feb!F49,"")</f>
        <v>0.39729855612482545</v>
      </c>
      <c r="AR48" s="113">
        <f>IF(AND(ABS(Feb!E49)&gt;קריטריונים!$B$1,Feb!B49&gt;קריטריונים!$B$3),Feb!E49,"")</f>
        <v>0.387604070305273</v>
      </c>
      <c r="AS48" s="113" t="str">
        <f>IF(AND(ABS(Jan!F49)&gt;קריטריונים!$B$1,Jan!B49&gt;קריטריונים!$B$3),Jan!F49,"")</f>
        <v/>
      </c>
      <c r="AT48" s="103" t="str">
        <f>IF(AND(ABS(Jan!E49)&gt;קריטריונים!$B$1,Jan!B49&gt;קריטריונים!$B$3),Jan!E49,"")</f>
        <v/>
      </c>
      <c r="AU48" s="118" t="s">
        <v>40</v>
      </c>
      <c r="AV48" s="4"/>
    </row>
    <row r="49" spans="1:48">
      <c r="A49" s="112" t="str">
        <f>IF(AND(ABS(Dec!K50)&gt;קריטריונים!$B$2,Dec!B50&gt;קריטריונים!$B$3),Dec!K50,"")</f>
        <v/>
      </c>
      <c r="B49" s="113" t="str">
        <f>IF(AND(ABS(Dec!J50)&gt;קריטריונים!$B$2,Dec!B50&gt;קריטריונים!$B$3),Dec!J50,"")</f>
        <v/>
      </c>
      <c r="C49" s="113" t="str">
        <f>IF(AND(ABS(Dec!F50)&gt;קריטריונים!$B$1,Dec!B50&gt;קריטריונים!$B$3),Dec!F50,"")</f>
        <v/>
      </c>
      <c r="D49" s="113" t="str">
        <f>IF(AND(ABS(Dec!E50)&gt;קריטריונים!$B$1,Dec!B50&gt;קריטריונים!$B$3),Dec!E50,"")</f>
        <v/>
      </c>
      <c r="E49" s="113">
        <f>IF(AND(ABS(Nov!K50)&gt;קריטריונים!$B$2,Nov!B50&gt;קריטריונים!$B$3),Nov!K50,"")</f>
        <v>0.41286883782612049</v>
      </c>
      <c r="F49" s="113">
        <f>IF(AND(ABS(Nov!J50)&gt;קריטריונים!$B$2,Nov!B50&gt;קריטריונים!$B$3),Nov!J50,"")</f>
        <v>0.39364057154357046</v>
      </c>
      <c r="G49" s="113">
        <f>IF(AND(ABS(Nov!F50)&gt;קריטריונים!$B$1,Nov!B50&gt;קריטריונים!$B$3),Nov!F50,"")</f>
        <v>0.84069611780455156</v>
      </c>
      <c r="H49" s="113">
        <f>IF(AND(ABS(Nov!E50)&gt;קריטריונים!$B$1,Nov!B50&gt;קריטריונים!$B$3),Nov!E50,"")</f>
        <v>0.16648992576882304</v>
      </c>
      <c r="I49" s="113">
        <f>IF(AND(ABS(Oct!K50)&gt;קריטריונים!$B$2,Oct!B50&gt;קריטריונים!$B$3),Oct!K50,"")</f>
        <v>0.37757778207216419</v>
      </c>
      <c r="J49" s="113">
        <f>IF(AND(ABS(Oct!J50)&gt;קריטריונים!$B$2,Oct!B50&gt;קריטריונים!$B$3),Oct!J50,"")</f>
        <v>0.42420869366669534</v>
      </c>
      <c r="K49" s="113">
        <f>IF(AND(ABS(Oct!F50)&gt;קריטריונים!$B$1,Oct!B50&gt;קריטריונים!$B$3),Oct!F50,"")</f>
        <v>0.66713760949420742</v>
      </c>
      <c r="L49" s="113">
        <f>IF(AND(ABS(Oct!E50)&gt;קריטריונים!$B$1,Oct!B50&gt;קריטריונים!$B$3),Oct!E50,"")</f>
        <v>0.91682910981156618</v>
      </c>
      <c r="M49" s="113">
        <f>IF(AND(ABS(Sep!K50)&gt;קריטריונים!$B$2,Sep!B50&gt;קריטריונים!$B$3),Sep!K50,"")</f>
        <v>0.34622445233141641</v>
      </c>
      <c r="N49" s="113">
        <f>IF(AND(ABS(Sep!J50)&gt;קריטריונים!$B$2,Sep!B50&gt;קריטריונים!$B$3),Sep!J50,"")</f>
        <v>0.37676397884789914</v>
      </c>
      <c r="O49" s="113">
        <f>IF(AND(ABS(Sep!F50)&gt;קריטריונים!$B$1,Sep!B50&gt;קריטריונים!$B$3),Sep!F50,"")</f>
        <v>0.8023817186997102</v>
      </c>
      <c r="P49" s="113">
        <f>IF(AND(ABS(Sep!E50)&gt;קריטריונים!$B$1,Sep!B50&gt;קריטריונים!$B$3),Sep!E50,"")</f>
        <v>0.22941822173435789</v>
      </c>
      <c r="Q49" s="113">
        <f>IF(AND(ABS(Aug!K50)&gt;קריטריונים!$B$2,Aug!B50&gt;קריטריונים!$B$3),Aug!K50,"")</f>
        <v>0.29830611623896952</v>
      </c>
      <c r="R49" s="113">
        <f>IF(AND(ABS(Aug!J50)&gt;קריטריונים!$B$2,Aug!B50&gt;קריטריונים!$B$3),Aug!J50,"")</f>
        <v>0.40125529119836534</v>
      </c>
      <c r="S49" s="113">
        <f>IF(AND(ABS(Aug!F50)&gt;קריטריונים!$B$1,Aug!B50&gt;קריטריונים!$B$3),Aug!F50,"")</f>
        <v>0.17157974300831458</v>
      </c>
      <c r="T49" s="113">
        <f>IF(AND(ABS(Aug!E50)&gt;קריטריונים!$B$1,Aug!B50&gt;קריטריונים!$B$3),Aug!E50,"")</f>
        <v>0.42923005993545416</v>
      </c>
      <c r="U49" s="113">
        <f>IF(AND(ABS(Jul!K50)&gt;קריטריונים!$B$2,Jul!B50&gt;קריטריונים!$B$3),Jul!K50,"")</f>
        <v>8.8683774554552564E-2</v>
      </c>
      <c r="V49" s="113">
        <f>IF(AND(ABS(Jul!J50)&gt;קריטריונים!$B$2,Jul!B50&gt;קריטריונים!$B$3),Jul!J50,"")</f>
        <v>0.39599410387583478</v>
      </c>
      <c r="W49" s="113">
        <f>IF(AND(ABS(Jul!F50)&gt;קריטריונים!$B$1,Jul!B50&gt;קריטריונים!$B$3),Jul!F50,"")</f>
        <v>0.33735979292493523</v>
      </c>
      <c r="X49" s="113">
        <f>IF(AND(ABS(Jul!E50)&gt;קריטריונים!$B$1,Jul!B50&gt;קריטריונים!$B$3),Jul!E50,"")</f>
        <v>0.45505749823984987</v>
      </c>
      <c r="Y49" s="113">
        <f>IF(AND(ABS(Jun!K50)&gt;קריטריונים!$B$2,Jun!B50&gt;קריטריונים!$B$3),Jun!K50,"")</f>
        <v>0.29243923050156573</v>
      </c>
      <c r="Z49" s="113">
        <f>IF(AND(ABS(Jun!J50)&gt;קריטריונים!$B$2,Jun!B50&gt;קריטריונים!$B$3),Jun!J50,"")</f>
        <v>0.38261100771071521</v>
      </c>
      <c r="AA49" s="113">
        <f>IF(AND(ABS(Jun!F50)&gt;קריטריונים!$B$1,Jun!B50&gt;קריטריונים!$B$3),Jun!F50,"")</f>
        <v>0.42995637421231203</v>
      </c>
      <c r="AB49" s="113">
        <f>IF(AND(ABS(Jun!E50)&gt;קריטריונים!$B$1,Jun!B50&gt;קריטריונים!$B$3),Jun!E50,"")</f>
        <v>0.68716042321990289</v>
      </c>
      <c r="AC49" s="113">
        <f>IF(AND(ABS(May!K50)&gt;קריטריונים!$B$2,May!B50&gt;קריטריונים!$B$3),May!K50,"")</f>
        <v>0.29485279907234441</v>
      </c>
      <c r="AD49" s="113">
        <f>IF(AND(ABS(May!J50)&gt;קריטריונים!$B$2,May!B50&gt;קריטריונים!$B$3),May!J50,"")</f>
        <v>0.31303893389077619</v>
      </c>
      <c r="AE49" s="113">
        <f>IF(AND(ABS(May!F50)&gt;קריטריונים!$B$1,May!B50&gt;קריטריונים!$B$3),May!F50,"")</f>
        <v>0.39860139860139876</v>
      </c>
      <c r="AF49" s="113">
        <f>IF(AND(ABS(May!E50)&gt;קריטריונים!$B$1,May!B50&gt;קריטריונים!$B$3),May!E50,"")</f>
        <v>0.31225767968982998</v>
      </c>
      <c r="AG49" s="113">
        <f>IF(AND(ABS(Apr!K50)&gt;קריטריונים!$B$2,Apr!B50&gt;קריטריונים!$B$3),Apr!K50,"")</f>
        <v>0.26848186151733033</v>
      </c>
      <c r="AH49" s="113">
        <f>IF(AND(ABS(Apr!J50)&gt;קריטריונים!$B$2,Apr!B50&gt;קריטריונים!$B$3),Apr!J50,"")</f>
        <v>0.31325805102467585</v>
      </c>
      <c r="AI49" s="113">
        <f>IF(AND(ABS(Apr!F50)&gt;קריטריונים!$B$1,Apr!B50&gt;קריטריונים!$B$3),Apr!F50,"")</f>
        <v>0.5222806531967894</v>
      </c>
      <c r="AJ49" s="113">
        <f>IF(AND(ABS(Apr!E50)&gt;קריטריונים!$B$1,Apr!B50&gt;קריטריונים!$B$3),Apr!E50,"")</f>
        <v>1.0362828582006665</v>
      </c>
      <c r="AK49" s="113">
        <f>IF(AND(ABS(Mar!K50)&gt;קריטריונים!$B$2,Mar!B50&gt;קריטריונים!$B$3),Mar!K50,"")</f>
        <v>0.16385212231857582</v>
      </c>
      <c r="AL49" s="113">
        <f>IF(AND(ABS(Mar!J50)&gt;קריטריונים!$B$2,Mar!B50&gt;קריטריונים!$B$3),Mar!J50,"")</f>
        <v>0.10222606440458182</v>
      </c>
      <c r="AM49" s="113">
        <f>IF(AND(ABS(Mar!F50)&gt;קריטריונים!$B$1,Mar!B50&gt;קריטריונים!$B$3),Mar!F50,"")</f>
        <v>4.8565121412803558E-2</v>
      </c>
      <c r="AN49" s="113">
        <f>IF(AND(ABS(Mar!E50)&gt;קריטריונים!$B$1,Mar!B50&gt;קריטריונים!$B$3),Mar!E50,"")</f>
        <v>-4.3303121852970805E-2</v>
      </c>
      <c r="AO49" s="113">
        <f>IF(AND(ABS(Feb!K50)&gt;קריטריונים!$B$2,Feb!B50&gt;קריטריונים!$B$3),Feb!K50,"")</f>
        <v>0.24513618677042803</v>
      </c>
      <c r="AP49" s="113">
        <f>IF(AND(ABS(Feb!J50)&gt;קריטריונים!$B$2,Feb!B50&gt;קריטריונים!$B$3),Feb!J50,"")</f>
        <v>0.21166224914804999</v>
      </c>
      <c r="AQ49" s="113">
        <f>IF(AND(ABS(Feb!F50)&gt;קריטריונים!$B$1,Feb!B50&gt;קריטריונים!$B$3),Feb!F50,"")</f>
        <v>0.37562094000764246</v>
      </c>
      <c r="AR49" s="113">
        <f>IF(AND(ABS(Feb!E50)&gt;קריטריונים!$B$1,Feb!B50&gt;קריטריונים!$B$3),Feb!E50,"")</f>
        <v>0.27478753541076495</v>
      </c>
      <c r="AS49" s="113">
        <f>IF(AND(ABS(Jan!F50)&gt;קריטריונים!$B$1,Jan!B50&gt;קריטריונים!$B$3),Jan!F50,"")</f>
        <v>0.10978993261989678</v>
      </c>
      <c r="AT49" s="103">
        <f>IF(AND(ABS(Jan!E50)&gt;קריטריונים!$B$1,Jan!B50&gt;קריטריונים!$B$3),Jan!E50,"")</f>
        <v>0.1391375101708705</v>
      </c>
      <c r="AU49" s="118" t="s">
        <v>41</v>
      </c>
      <c r="AV49" s="95"/>
    </row>
    <row r="50" spans="1:48">
      <c r="A50" s="112" t="str">
        <f>IF(AND(ABS(Dec!K51)&gt;קריטריונים!$B$2,Dec!B51&gt;קריטריונים!$B$3),Dec!K51,"")</f>
        <v/>
      </c>
      <c r="B50" s="113" t="str">
        <f>IF(AND(ABS(Dec!J51)&gt;קריטריונים!$B$2,Dec!B51&gt;קריטריונים!$B$3),Dec!J51,"")</f>
        <v/>
      </c>
      <c r="C50" s="113" t="str">
        <f>IF(AND(ABS(Dec!F51)&gt;קריטריונים!$B$1,Dec!B51&gt;קריטריונים!$B$3),Dec!F51,"")</f>
        <v/>
      </c>
      <c r="D50" s="113" t="str">
        <f>IF(AND(ABS(Dec!E51)&gt;קריטריונים!$B$1,Dec!B51&gt;קריטריונים!$B$3),Dec!E51,"")</f>
        <v/>
      </c>
      <c r="E50" s="113" t="str">
        <f>IF(AND(ABS(Nov!K51)&gt;קריטריונים!$B$2,Nov!B51&gt;קריטריונים!$B$3),Nov!K51,"")</f>
        <v/>
      </c>
      <c r="F50" s="113" t="str">
        <f>IF(AND(ABS(Nov!J51)&gt;קריטריונים!$B$2,Nov!B51&gt;קריטריונים!$B$3),Nov!J51,"")</f>
        <v/>
      </c>
      <c r="G50" s="113" t="str">
        <f>IF(AND(ABS(Nov!F51)&gt;קריטריונים!$B$1,Nov!B51&gt;קריטריונים!$B$3),Nov!F51,"")</f>
        <v/>
      </c>
      <c r="H50" s="113" t="str">
        <f>IF(AND(ABS(Nov!E51)&gt;קריטריונים!$B$1,Nov!B51&gt;קריטריונים!$B$3),Nov!E51,"")</f>
        <v/>
      </c>
      <c r="I50" s="113" t="str">
        <f>IF(AND(ABS(Oct!K51)&gt;קריטריונים!$B$2,Oct!B51&gt;קריטריונים!$B$3),Oct!K51,"")</f>
        <v/>
      </c>
      <c r="J50" s="113" t="str">
        <f>IF(AND(ABS(Oct!J51)&gt;קריטריונים!$B$2,Oct!B51&gt;קריטריונים!$B$3),Oct!J51,"")</f>
        <v/>
      </c>
      <c r="K50" s="113" t="str">
        <f>IF(AND(ABS(Oct!F51)&gt;קריטריונים!$B$1,Oct!B51&gt;קריטריונים!$B$3),Oct!F51,"")</f>
        <v/>
      </c>
      <c r="L50" s="113" t="str">
        <f>IF(AND(ABS(Oct!E51)&gt;קריטריונים!$B$1,Oct!B51&gt;קריטריונים!$B$3),Oct!E51,"")</f>
        <v/>
      </c>
      <c r="M50" s="113" t="str">
        <f>IF(AND(ABS(Sep!K51)&gt;קריטריונים!$B$2,Sep!B51&gt;קריטריונים!$B$3),Sep!K51,"")</f>
        <v/>
      </c>
      <c r="N50" s="113" t="str">
        <f>IF(AND(ABS(Sep!J51)&gt;קריטריונים!$B$2,Sep!B51&gt;קריטריונים!$B$3),Sep!J51,"")</f>
        <v/>
      </c>
      <c r="O50" s="113" t="str">
        <f>IF(AND(ABS(Sep!F51)&gt;קריטריונים!$B$1,Sep!B51&gt;קריטריונים!$B$3),Sep!F51,"")</f>
        <v/>
      </c>
      <c r="P50" s="113" t="str">
        <f>IF(AND(ABS(Sep!E51)&gt;קריטריונים!$B$1,Sep!B51&gt;קריטריונים!$B$3),Sep!E51,"")</f>
        <v/>
      </c>
      <c r="Q50" s="113">
        <f>IF(AND(ABS(Aug!K51)&gt;קריטריונים!$B$2,Aug!B51&gt;קריטריונים!$B$3),Aug!K51,"")</f>
        <v>0.25899280575539585</v>
      </c>
      <c r="R50" s="113">
        <f>IF(AND(ABS(Aug!J51)&gt;קריטריונים!$B$2,Aug!B51&gt;קריטריונים!$B$3),Aug!J51,"")</f>
        <v>0.34073932196897139</v>
      </c>
      <c r="S50" s="113">
        <f>IF(AND(ABS(Aug!F51)&gt;קריטריונים!$B$1,Aug!B51&gt;קריטריונים!$B$3),Aug!F51,"")</f>
        <v>0.59203980099502518</v>
      </c>
      <c r="T50" s="113">
        <f>IF(AND(ABS(Aug!E51)&gt;קריטריונים!$B$1,Aug!B51&gt;קריטריונים!$B$3),Aug!E51,"")</f>
        <v>0.671891327063741</v>
      </c>
      <c r="U50" s="113" t="str">
        <f>IF(AND(ABS(Jul!K51)&gt;קריטריונים!$B$2,Jul!B51&gt;קריטריונים!$B$3),Jul!K51,"")</f>
        <v/>
      </c>
      <c r="V50" s="113" t="str">
        <f>IF(AND(ABS(Jul!J51)&gt;קריטריונים!$B$2,Jul!B51&gt;קריטריונים!$B$3),Jul!J51,"")</f>
        <v/>
      </c>
      <c r="W50" s="113" t="str">
        <f>IF(AND(ABS(Jul!F51)&gt;קריטריונים!$B$1,Jul!B51&gt;קריטריונים!$B$3),Jul!F51,"")</f>
        <v/>
      </c>
      <c r="X50" s="113" t="str">
        <f>IF(AND(ABS(Jul!E51)&gt;קריטריונים!$B$1,Jul!B51&gt;קריטריונים!$B$3),Jul!E51,"")</f>
        <v/>
      </c>
      <c r="Y50" s="113" t="str">
        <f>IF(AND(ABS(Jun!K51)&gt;קריטריונים!$B$2,Jun!B51&gt;קריטריונים!$B$3),Jun!K51,"")</f>
        <v/>
      </c>
      <c r="Z50" s="113" t="str">
        <f>IF(AND(ABS(Jun!J51)&gt;קריטריונים!$B$2,Jun!B51&gt;קריטריונים!$B$3),Jun!J51,"")</f>
        <v/>
      </c>
      <c r="AA50" s="113" t="str">
        <f>IF(AND(ABS(Jun!F51)&gt;קריטריונים!$B$1,Jun!B51&gt;קריטריונים!$B$3),Jun!F51,"")</f>
        <v/>
      </c>
      <c r="AB50" s="113" t="str">
        <f>IF(AND(ABS(Jun!E51)&gt;קריטריונים!$B$1,Jun!B51&gt;קריטריונים!$B$3),Jun!E51,"")</f>
        <v/>
      </c>
      <c r="AC50" s="113" t="str">
        <f>IF(AND(ABS(May!K51)&gt;קריטריונים!$B$2,May!B51&gt;קריטריונים!$B$3),May!K51,"")</f>
        <v/>
      </c>
      <c r="AD50" s="113" t="str">
        <f>IF(AND(ABS(May!J51)&gt;קריטריונים!$B$2,May!B51&gt;קריטריונים!$B$3),May!J51,"")</f>
        <v/>
      </c>
      <c r="AE50" s="113" t="str">
        <f>IF(AND(ABS(May!F51)&gt;קריטריונים!$B$1,May!B51&gt;קריטריונים!$B$3),May!F51,"")</f>
        <v/>
      </c>
      <c r="AF50" s="113" t="str">
        <f>IF(AND(ABS(May!E51)&gt;קריטריונים!$B$1,May!B51&gt;קריטריונים!$B$3),May!E51,"")</f>
        <v/>
      </c>
      <c r="AG50" s="113" t="str">
        <f>IF(AND(ABS(Apr!K51)&gt;קריטריונים!$B$2,Apr!B51&gt;קריטריונים!$B$3),Apr!K51,"")</f>
        <v/>
      </c>
      <c r="AH50" s="113" t="str">
        <f>IF(AND(ABS(Apr!J51)&gt;קריטריונים!$B$2,Apr!B51&gt;קריטריונים!$B$3),Apr!J51,"")</f>
        <v/>
      </c>
      <c r="AI50" s="113" t="str">
        <f>IF(AND(ABS(Apr!F51)&gt;קריטריונים!$B$1,Apr!B51&gt;קריטריונים!$B$3),Apr!F51,"")</f>
        <v/>
      </c>
      <c r="AJ50" s="113" t="str">
        <f>IF(AND(ABS(Apr!E51)&gt;קריטריונים!$B$1,Apr!B51&gt;קריטריונים!$B$3),Apr!E51,"")</f>
        <v/>
      </c>
      <c r="AK50" s="113" t="str">
        <f>IF(AND(ABS(Mar!K51)&gt;קריטריונים!$B$2,Mar!B51&gt;קריטריונים!$B$3),Mar!K51,"")</f>
        <v/>
      </c>
      <c r="AL50" s="113" t="str">
        <f>IF(AND(ABS(Mar!J51)&gt;קריטריונים!$B$2,Mar!B51&gt;קריטריונים!$B$3),Mar!J51,"")</f>
        <v/>
      </c>
      <c r="AM50" s="113" t="str">
        <f>IF(AND(ABS(Mar!F51)&gt;קריטריונים!$B$1,Mar!B51&gt;קריטריונים!$B$3),Mar!F51,"")</f>
        <v/>
      </c>
      <c r="AN50" s="113" t="str">
        <f>IF(AND(ABS(Mar!E51)&gt;קריטריונים!$B$1,Mar!B51&gt;קריטריונים!$B$3),Mar!E51,"")</f>
        <v/>
      </c>
      <c r="AO50" s="113" t="str">
        <f>IF(AND(ABS(Feb!K51)&gt;קריטריונים!$B$2,Feb!B51&gt;קריטריונים!$B$3),Feb!K51,"")</f>
        <v/>
      </c>
      <c r="AP50" s="113" t="str">
        <f>IF(AND(ABS(Feb!J51)&gt;קריטריונים!$B$2,Feb!B51&gt;קריטריונים!$B$3),Feb!J51,"")</f>
        <v/>
      </c>
      <c r="AQ50" s="113" t="str">
        <f>IF(AND(ABS(Feb!F51)&gt;קריטריונים!$B$1,Feb!B51&gt;קריטריונים!$B$3),Feb!F51,"")</f>
        <v/>
      </c>
      <c r="AR50" s="113" t="str">
        <f>IF(AND(ABS(Feb!E51)&gt;קריטריונים!$B$1,Feb!B51&gt;קריטריונים!$B$3),Feb!E51,"")</f>
        <v/>
      </c>
      <c r="AS50" s="113" t="str">
        <f>IF(AND(ABS(Jan!F51)&gt;קריטריונים!$B$1,Jan!B51&gt;קריטריונים!$B$3),Jan!F51,"")</f>
        <v/>
      </c>
      <c r="AT50" s="103" t="str">
        <f>IF(AND(ABS(Jan!E51)&gt;קריטריונים!$B$1,Jan!B51&gt;קריטריונים!$B$3),Jan!E51,"")</f>
        <v/>
      </c>
      <c r="AU50" s="118" t="s">
        <v>42</v>
      </c>
      <c r="AV50" s="4"/>
    </row>
    <row r="51" spans="1:48">
      <c r="A51" s="112" t="str">
        <f>IF(AND(ABS(Dec!K52)&gt;קריטריונים!$B$2,Dec!B52&gt;קריטריונים!$B$3),Dec!K52,"")</f>
        <v/>
      </c>
      <c r="B51" s="113" t="str">
        <f>IF(AND(ABS(Dec!J52)&gt;קריטריונים!$B$2,Dec!B52&gt;קריטריונים!$B$3),Dec!J52,"")</f>
        <v/>
      </c>
      <c r="C51" s="113" t="str">
        <f>IF(AND(ABS(Dec!F52)&gt;קריטריונים!$B$1,Dec!B52&gt;קריטריונים!$B$3),Dec!F52,"")</f>
        <v/>
      </c>
      <c r="D51" s="113" t="str">
        <f>IF(AND(ABS(Dec!E52)&gt;קריטריונים!$B$1,Dec!B52&gt;קריטריונים!$B$3),Dec!E52,"")</f>
        <v/>
      </c>
      <c r="E51" s="113" t="str">
        <f>IF(AND(ABS(Nov!K52)&gt;קריטריונים!$B$2,Nov!B52&gt;קריטריונים!$B$3),Nov!K52,"")</f>
        <v/>
      </c>
      <c r="F51" s="113" t="str">
        <f>IF(AND(ABS(Nov!J52)&gt;קריטריונים!$B$2,Nov!B52&gt;קריטריונים!$B$3),Nov!J52,"")</f>
        <v/>
      </c>
      <c r="G51" s="113" t="str">
        <f>IF(AND(ABS(Nov!F52)&gt;קריטריונים!$B$1,Nov!B52&gt;קריטריונים!$B$3),Nov!F52,"")</f>
        <v/>
      </c>
      <c r="H51" s="113" t="str">
        <f>IF(AND(ABS(Nov!E52)&gt;קריטריונים!$B$1,Nov!B52&gt;קריטריונים!$B$3),Nov!E52,"")</f>
        <v/>
      </c>
      <c r="I51" s="113" t="str">
        <f>IF(AND(ABS(Oct!K52)&gt;קריטריונים!$B$2,Oct!B52&gt;קריטריונים!$B$3),Oct!K52,"")</f>
        <v/>
      </c>
      <c r="J51" s="113" t="str">
        <f>IF(AND(ABS(Oct!J52)&gt;קריטריונים!$B$2,Oct!B52&gt;קריטריונים!$B$3),Oct!J52,"")</f>
        <v/>
      </c>
      <c r="K51" s="113" t="str">
        <f>IF(AND(ABS(Oct!F52)&gt;קריטריונים!$B$1,Oct!B52&gt;קריטריונים!$B$3),Oct!F52,"")</f>
        <v/>
      </c>
      <c r="L51" s="113" t="str">
        <f>IF(AND(ABS(Oct!E52)&gt;קריטריונים!$B$1,Oct!B52&gt;קריטריונים!$B$3),Oct!E52,"")</f>
        <v/>
      </c>
      <c r="M51" s="113" t="str">
        <f>IF(AND(ABS(Sep!K52)&gt;קריטריונים!$B$2,Sep!B52&gt;קריטריונים!$B$3),Sep!K52,"")</f>
        <v/>
      </c>
      <c r="N51" s="113" t="str">
        <f>IF(AND(ABS(Sep!J52)&gt;קריטריונים!$B$2,Sep!B52&gt;קריטריונים!$B$3),Sep!J52,"")</f>
        <v/>
      </c>
      <c r="O51" s="113" t="str">
        <f>IF(AND(ABS(Sep!F52)&gt;קריטריונים!$B$1,Sep!B52&gt;קריטריונים!$B$3),Sep!F52,"")</f>
        <v/>
      </c>
      <c r="P51" s="113" t="str">
        <f>IF(AND(ABS(Sep!E52)&gt;קריטריונים!$B$1,Sep!B52&gt;קריטריונים!$B$3),Sep!E52,"")</f>
        <v/>
      </c>
      <c r="Q51" s="113" t="str">
        <f>IF(AND(ABS(Aug!K52)&gt;קריטריונים!$B$2,Aug!B52&gt;קריטריונים!$B$3),Aug!K52,"")</f>
        <v/>
      </c>
      <c r="R51" s="113" t="str">
        <f>IF(AND(ABS(Aug!J52)&gt;קריטריונים!$B$2,Aug!B52&gt;קריטריונים!$B$3),Aug!J52,"")</f>
        <v/>
      </c>
      <c r="S51" s="113" t="str">
        <f>IF(AND(ABS(Aug!F52)&gt;קריטריונים!$B$1,Aug!B52&gt;קריטריונים!$B$3),Aug!F52,"")</f>
        <v/>
      </c>
      <c r="T51" s="113" t="str">
        <f>IF(AND(ABS(Aug!E52)&gt;קריטריונים!$B$1,Aug!B52&gt;קריטריונים!$B$3),Aug!E52,"")</f>
        <v/>
      </c>
      <c r="U51" s="113" t="str">
        <f>IF(AND(ABS(Jul!K52)&gt;קריטריונים!$B$2,Jul!B52&gt;קריטריונים!$B$3),Jul!K52,"")</f>
        <v/>
      </c>
      <c r="V51" s="113" t="str">
        <f>IF(AND(ABS(Jul!J52)&gt;קריטריונים!$B$2,Jul!B52&gt;קריטריונים!$B$3),Jul!J52,"")</f>
        <v/>
      </c>
      <c r="W51" s="113" t="str">
        <f>IF(AND(ABS(Jul!F52)&gt;קריטריונים!$B$1,Jul!B52&gt;קריטריונים!$B$3),Jul!F52,"")</f>
        <v/>
      </c>
      <c r="X51" s="113" t="str">
        <f>IF(AND(ABS(Jul!E52)&gt;קריטריונים!$B$1,Jul!B52&gt;קריטריונים!$B$3),Jul!E52,"")</f>
        <v/>
      </c>
      <c r="Y51" s="113" t="str">
        <f>IF(AND(ABS(Jun!K52)&gt;קריטריונים!$B$2,Jun!B52&gt;קריטריונים!$B$3),Jun!K52,"")</f>
        <v/>
      </c>
      <c r="Z51" s="113" t="str">
        <f>IF(AND(ABS(Jun!J52)&gt;קריטריונים!$B$2,Jun!B52&gt;קריטריונים!$B$3),Jun!J52,"")</f>
        <v/>
      </c>
      <c r="AA51" s="113" t="str">
        <f>IF(AND(ABS(Jun!F52)&gt;קריטריונים!$B$1,Jun!B52&gt;קריטריונים!$B$3),Jun!F52,"")</f>
        <v/>
      </c>
      <c r="AB51" s="113" t="str">
        <f>IF(AND(ABS(Jun!E52)&gt;קריטריונים!$B$1,Jun!B52&gt;קריטריונים!$B$3),Jun!E52,"")</f>
        <v/>
      </c>
      <c r="AC51" s="113" t="str">
        <f>IF(AND(ABS(May!K52)&gt;קריטריונים!$B$2,May!B52&gt;קריטריונים!$B$3),May!K52,"")</f>
        <v/>
      </c>
      <c r="AD51" s="113" t="str">
        <f>IF(AND(ABS(May!J52)&gt;קריטריונים!$B$2,May!B52&gt;קריטריונים!$B$3),May!J52,"")</f>
        <v/>
      </c>
      <c r="AE51" s="113" t="str">
        <f>IF(AND(ABS(May!F52)&gt;קריטריונים!$B$1,May!B52&gt;קריטריונים!$B$3),May!F52,"")</f>
        <v/>
      </c>
      <c r="AF51" s="113" t="str">
        <f>IF(AND(ABS(May!E52)&gt;קריטריונים!$B$1,May!B52&gt;קריטריונים!$B$3),May!E52,"")</f>
        <v/>
      </c>
      <c r="AG51" s="113" t="str">
        <f>IF(AND(ABS(Apr!K52)&gt;קריטריונים!$B$2,Apr!B52&gt;קריטריונים!$B$3),Apr!K52,"")</f>
        <v/>
      </c>
      <c r="AH51" s="113" t="str">
        <f>IF(AND(ABS(Apr!J52)&gt;קריטריונים!$B$2,Apr!B52&gt;קריטריונים!$B$3),Apr!J52,"")</f>
        <v/>
      </c>
      <c r="AI51" s="113" t="str">
        <f>IF(AND(ABS(Apr!F52)&gt;קריטריונים!$B$1,Apr!B52&gt;קריטריונים!$B$3),Apr!F52,"")</f>
        <v/>
      </c>
      <c r="AJ51" s="113" t="str">
        <f>IF(AND(ABS(Apr!E52)&gt;קריטריונים!$B$1,Apr!B52&gt;קריטריונים!$B$3),Apr!E52,"")</f>
        <v/>
      </c>
      <c r="AK51" s="113" t="str">
        <f>IF(AND(ABS(Mar!K52)&gt;קריטריונים!$B$2,Mar!B52&gt;קריטריונים!$B$3),Mar!K52,"")</f>
        <v/>
      </c>
      <c r="AL51" s="113" t="str">
        <f>IF(AND(ABS(Mar!J52)&gt;קריטריונים!$B$2,Mar!B52&gt;קריטריונים!$B$3),Mar!J52,"")</f>
        <v/>
      </c>
      <c r="AM51" s="113" t="str">
        <f>IF(AND(ABS(Mar!F52)&gt;קריטריונים!$B$1,Mar!B52&gt;קריטריונים!$B$3),Mar!F52,"")</f>
        <v/>
      </c>
      <c r="AN51" s="113" t="str">
        <f>IF(AND(ABS(Mar!E52)&gt;קריטריונים!$B$1,Mar!B52&gt;קריטריונים!$B$3),Mar!E52,"")</f>
        <v/>
      </c>
      <c r="AO51" s="113" t="str">
        <f>IF(AND(ABS(Feb!K52)&gt;קריטריונים!$B$2,Feb!B52&gt;קריטריונים!$B$3),Feb!K52,"")</f>
        <v/>
      </c>
      <c r="AP51" s="113" t="str">
        <f>IF(AND(ABS(Feb!J52)&gt;קריטריונים!$B$2,Feb!B52&gt;קריטריונים!$B$3),Feb!J52,"")</f>
        <v/>
      </c>
      <c r="AQ51" s="113" t="str">
        <f>IF(AND(ABS(Feb!F52)&gt;קריטריונים!$B$1,Feb!B52&gt;קריטריונים!$B$3),Feb!F52,"")</f>
        <v/>
      </c>
      <c r="AR51" s="113" t="str">
        <f>IF(AND(ABS(Feb!E52)&gt;קריטריונים!$B$1,Feb!B52&gt;קריטריונים!$B$3),Feb!E52,"")</f>
        <v/>
      </c>
      <c r="AS51" s="113" t="str">
        <f>IF(AND(ABS(Jan!F52)&gt;קריטריונים!$B$1,Jan!B52&gt;קריטריונים!$B$3),Jan!F52,"")</f>
        <v/>
      </c>
      <c r="AT51" s="103" t="str">
        <f>IF(AND(ABS(Jan!E52)&gt;קריטריונים!$B$1,Jan!B52&gt;קריטריונים!$B$3),Jan!E52,"")</f>
        <v/>
      </c>
      <c r="AU51" s="118"/>
      <c r="AV51" s="4"/>
    </row>
    <row r="52" spans="1:48">
      <c r="A52" s="112" t="str">
        <f>IF(AND(ABS(Dec!K53)&gt;קריטריונים!$B$2,Dec!B53&gt;קריטריונים!$B$3),Dec!K53,"")</f>
        <v/>
      </c>
      <c r="B52" s="113" t="str">
        <f>IF(AND(ABS(Dec!J53)&gt;קריטריונים!$B$2,Dec!B53&gt;קריטריונים!$B$3),Dec!J53,"")</f>
        <v/>
      </c>
      <c r="C52" s="113" t="str">
        <f>IF(AND(ABS(Dec!F53)&gt;קריטריונים!$B$1,Dec!B53&gt;קריטריונים!$B$3),Dec!F53,"")</f>
        <v/>
      </c>
      <c r="D52" s="113" t="str">
        <f>IF(AND(ABS(Dec!E53)&gt;קריטריונים!$B$1,Dec!B53&gt;קריטריונים!$B$3),Dec!E53,"")</f>
        <v/>
      </c>
      <c r="E52" s="113">
        <f>IF(AND(ABS(Nov!K53)&gt;קריטריונים!$B$2,Nov!B53&gt;קריטריונים!$B$3),Nov!K53,"")</f>
        <v>0.18801986329044906</v>
      </c>
      <c r="F52" s="113">
        <f>IF(AND(ABS(Nov!J53)&gt;קריטריונים!$B$2,Nov!B53&gt;קריטריונים!$B$3),Nov!J53,"")</f>
        <v>0.22207657100414901</v>
      </c>
      <c r="G52" s="113">
        <f>IF(AND(ABS(Nov!F53)&gt;קריטריונים!$B$1,Nov!B53&gt;קריטריונים!$B$3),Nov!F53,"")</f>
        <v>0.6974380086772014</v>
      </c>
      <c r="H52" s="113">
        <f>IF(AND(ABS(Nov!E53)&gt;קריטריונים!$B$1,Nov!B53&gt;קריטריונים!$B$3),Nov!E53,"")</f>
        <v>7.3631920519189098E-2</v>
      </c>
      <c r="I52" s="113">
        <f>IF(AND(ABS(Oct!K53)&gt;קריטריונים!$B$2,Oct!B53&gt;קריטריונים!$B$3),Oct!K53,"")</f>
        <v>0.14642005575640948</v>
      </c>
      <c r="J52" s="113">
        <f>IF(AND(ABS(Oct!J53)&gt;קריטריונים!$B$2,Oct!B53&gt;קריטריונים!$B$3),Oct!J53,"")</f>
        <v>0.24285421905971472</v>
      </c>
      <c r="K52" s="113">
        <f>IF(AND(ABS(Oct!F53)&gt;קריטריונים!$B$1,Oct!B53&gt;קריטריונים!$B$3),Oct!F53,"")</f>
        <v>0.38697937727456555</v>
      </c>
      <c r="L52" s="113">
        <f>IF(AND(ABS(Oct!E53)&gt;קריטריונים!$B$1,Oct!B53&gt;קריטריונים!$B$3),Oct!E53,"")</f>
        <v>0.39823080999551608</v>
      </c>
      <c r="M52" s="113">
        <f>IF(AND(ABS(Sep!K53)&gt;קריטריונים!$B$2,Sep!B53&gt;קריטריונים!$B$3),Sep!K53,"")</f>
        <v>0.11113747027180887</v>
      </c>
      <c r="N52" s="113">
        <f>IF(AND(ABS(Sep!J53)&gt;קריטריונים!$B$2,Sep!B53&gt;קריטריונים!$B$3),Sep!J53,"")</f>
        <v>0.21807312339695129</v>
      </c>
      <c r="O52" s="113">
        <f>IF(AND(ABS(Sep!F53)&gt;קריטריונים!$B$1,Sep!B53&gt;קריטריונים!$B$3),Sep!F53,"")</f>
        <v>0.21058305632917063</v>
      </c>
      <c r="P52" s="113">
        <f>IF(AND(ABS(Sep!E53)&gt;קריטריונים!$B$1,Sep!B53&gt;קריטריונים!$B$3),Sep!E53,"")</f>
        <v>5.9646915424841795E-2</v>
      </c>
      <c r="Q52" s="113">
        <f>IF(AND(ABS(Aug!K53)&gt;קריטריונים!$B$2,Aug!B53&gt;קריטריונים!$B$3),Aug!K53,"")</f>
        <v>9.6010222140226364E-2</v>
      </c>
      <c r="R52" s="113">
        <f>IF(AND(ABS(Aug!J53)&gt;קריטריונים!$B$2,Aug!B53&gt;קריטריונים!$B$3),Aug!J53,"")</f>
        <v>0.24945959314666744</v>
      </c>
      <c r="S52" s="113">
        <f>IF(AND(ABS(Aug!F53)&gt;קריטריונים!$B$1,Aug!B53&gt;קריטריונים!$B$3),Aug!F53,"")</f>
        <v>9.9457016626757877E-2</v>
      </c>
      <c r="T52" s="113">
        <f>IF(AND(ABS(Aug!E53)&gt;קריטריונים!$B$1,Aug!B53&gt;קריטריונים!$B$3),Aug!E53,"")</f>
        <v>0.15960587628499256</v>
      </c>
      <c r="U52" s="113">
        <f>IF(AND(ABS(Jul!K53)&gt;קריטריונים!$B$2,Jul!B53&gt;קריטריונים!$B$3),Jul!K53,"")</f>
        <v>-1.5367375246841397E-2</v>
      </c>
      <c r="V52" s="113">
        <f>IF(AND(ABS(Jul!J53)&gt;קריטריונים!$B$2,Jul!B53&gt;קריטריונים!$B$3),Jul!J53,"")</f>
        <v>0.26050787708080003</v>
      </c>
      <c r="W52" s="113">
        <f>IF(AND(ABS(Jul!F53)&gt;קריטריונים!$B$1,Jul!B53&gt;קריטריונים!$B$3),Jul!F53,"")</f>
        <v>6.8608167219563532E-2</v>
      </c>
      <c r="X52" s="113">
        <f>IF(AND(ABS(Jul!E53)&gt;קריטריונים!$B$1,Jul!B53&gt;קריטריונים!$B$3),Jul!E53,"")</f>
        <v>0.16409223192299094</v>
      </c>
      <c r="Y52" s="113">
        <f>IF(AND(ABS(Jun!K53)&gt;קריטריונים!$B$2,Jun!B53&gt;קריטריונים!$B$3),Jun!K53,"")</f>
        <v>-0.18350935332514018</v>
      </c>
      <c r="Z52" s="113">
        <f>IF(AND(ABS(Jun!J53)&gt;קריטריונים!$B$2,Jun!B53&gt;קריטריונים!$B$3),Jun!J53,"")</f>
        <v>0.27578292437008867</v>
      </c>
      <c r="AA52" s="113">
        <f>IF(AND(ABS(Jun!F53)&gt;קריטריונים!$B$1,Jun!B53&gt;קריטריונים!$B$3),Jun!F53,"")</f>
        <v>4.7561392888163745E-2</v>
      </c>
      <c r="AB52" s="113">
        <f>IF(AND(ABS(Jun!E53)&gt;קריטריונים!$B$1,Jun!B53&gt;קריטריונים!$B$3),Jun!E53,"")</f>
        <v>0.1602145522388061</v>
      </c>
      <c r="AC52" s="113">
        <f>IF(AND(ABS(May!K53)&gt;קריטריונים!$B$2,May!B53&gt;קריטריונים!$B$3),May!K53,"")</f>
        <v>0.10999994764151189</v>
      </c>
      <c r="AD52" s="113">
        <f>IF(AND(ABS(May!J53)&gt;קריטריונים!$B$2,May!B53&gt;קריטריונים!$B$3),May!J53,"")</f>
        <v>0.30009505411952286</v>
      </c>
      <c r="AE52" s="113">
        <f>IF(AND(ABS(May!F53)&gt;קריטריונים!$B$1,May!B53&gt;קריטריונים!$B$3),May!F53,"")</f>
        <v>0.11268027560234528</v>
      </c>
      <c r="AF52" s="113">
        <f>IF(AND(ABS(May!E53)&gt;קריטריונים!$B$1,May!B53&gt;קריטריונים!$B$3),May!E53,"")</f>
        <v>0.27229575982970822</v>
      </c>
      <c r="AG52" s="113">
        <f>IF(AND(ABS(Apr!K53)&gt;קריטריונים!$B$2,Apr!B53&gt;קריטריונים!$B$3),Apr!K53,"")</f>
        <v>0.10913161926284332</v>
      </c>
      <c r="AH52" s="113">
        <f>IF(AND(ABS(Apr!J53)&gt;קריטריונים!$B$2,Apr!B53&gt;קריטריונים!$B$3),Apr!J53,"")</f>
        <v>0.30939325989819477</v>
      </c>
      <c r="AI52" s="113">
        <f>IF(AND(ABS(Apr!F53)&gt;קריטריונים!$B$1,Apr!B53&gt;קריטריונים!$B$3),Apr!F53,"")</f>
        <v>8.7166706056764687E-2</v>
      </c>
      <c r="AJ52" s="113">
        <f>IF(AND(ABS(Apr!E53)&gt;קריטריונים!$B$1,Apr!B53&gt;קריטריונים!$B$3),Apr!E53,"")</f>
        <v>0.29916812159802819</v>
      </c>
      <c r="AK52" s="113">
        <f>IF(AND(ABS(Mar!K53)&gt;קריטריונים!$B$2,Mar!B53&gt;קריטריונים!$B$3),Mar!K53,"")</f>
        <v>0.11959391694127763</v>
      </c>
      <c r="AL52" s="113">
        <f>IF(AND(ABS(Mar!J53)&gt;קריטריונים!$B$2,Mar!B53&gt;קריטריונים!$B$3),Mar!J53,"")</f>
        <v>0.31417725776613903</v>
      </c>
      <c r="AM52" s="113">
        <f>IF(AND(ABS(Mar!F53)&gt;קריטריונים!$B$1,Mar!B53&gt;קריטריונים!$B$3),Mar!F53,"")</f>
        <v>0.12376348640769441</v>
      </c>
      <c r="AN52" s="113">
        <f>IF(AND(ABS(Mar!E53)&gt;קריטריונים!$B$1,Mar!B53&gt;קריטריונים!$B$3),Mar!E53,"")</f>
        <v>0.27707772901033567</v>
      </c>
      <c r="AO52" s="113">
        <f>IF(AND(ABS(Feb!K53)&gt;קריטריונים!$B$2,Feb!B53&gt;קריטריונים!$B$3),Feb!K53,"")</f>
        <v>0.11668779632170323</v>
      </c>
      <c r="AP52" s="113">
        <f>IF(AND(ABS(Feb!J53)&gt;קריטריונים!$B$2,Feb!B53&gt;קריטריונים!$B$3),Feb!J53,"")</f>
        <v>0.34151175648327814</v>
      </c>
      <c r="AQ52" s="113">
        <f>IF(AND(ABS(Feb!F53)&gt;קריטריונים!$B$1,Feb!B53&gt;קריטריונים!$B$3),Feb!F53,"")</f>
        <v>0.30661673903517483</v>
      </c>
      <c r="AR52" s="113">
        <f>IF(AND(ABS(Feb!E53)&gt;קריטריונים!$B$1,Feb!B53&gt;קריטריונים!$B$3),Feb!E53,"")</f>
        <v>0.4564184538874827</v>
      </c>
      <c r="AS52" s="113">
        <f>IF(AND(ABS(Jan!F53)&gt;קריטריונים!$B$1,Jan!B53&gt;קריטריונים!$B$3),Jan!F53,"")</f>
        <v>-3.0112691668206182E-2</v>
      </c>
      <c r="AT52" s="103">
        <f>IF(AND(ABS(Jan!E53)&gt;קריטריונים!$B$1,Jan!B53&gt;קריטריונים!$B$3),Jan!E53,"")</f>
        <v>0.2396694214876034</v>
      </c>
      <c r="AU52" s="118" t="s">
        <v>43</v>
      </c>
      <c r="AV52" s="4"/>
    </row>
    <row r="53" spans="1:48">
      <c r="A53" s="112" t="str">
        <f>IF(AND(ABS(Dec!K54)&gt;קריטריונים!$B$2,Dec!B54&gt;קריטריונים!$B$3),Dec!K54,"")</f>
        <v/>
      </c>
      <c r="B53" s="113" t="str">
        <f>IF(AND(ABS(Dec!J54)&gt;קריטריונים!$B$2,Dec!B54&gt;קריטריונים!$B$3),Dec!J54,"")</f>
        <v/>
      </c>
      <c r="C53" s="113" t="str">
        <f>IF(AND(ABS(Dec!F54)&gt;קריטריונים!$B$1,Dec!B54&gt;קריטריונים!$B$3),Dec!F54,"")</f>
        <v/>
      </c>
      <c r="D53" s="113" t="str">
        <f>IF(AND(ABS(Dec!E54)&gt;קריטריונים!$B$1,Dec!B54&gt;קריטריונים!$B$3),Dec!E54,"")</f>
        <v/>
      </c>
      <c r="E53" s="113">
        <f>IF(AND(ABS(Nov!K54)&gt;קריטריונים!$B$2,Nov!B54&gt;קריטריונים!$B$3),Nov!K54,"")</f>
        <v>0.10169521917351321</v>
      </c>
      <c r="F53" s="113">
        <f>IF(AND(ABS(Nov!J54)&gt;קריטריונים!$B$2,Nov!B54&gt;קריטריונים!$B$3),Nov!J54,"")</f>
        <v>0.25555333036338301</v>
      </c>
      <c r="G53" s="113">
        <f>IF(AND(ABS(Nov!F54)&gt;קריטריונים!$B$1,Nov!B54&gt;קריטריונים!$B$3),Nov!F54,"")</f>
        <v>0.72861270261005817</v>
      </c>
      <c r="H53" s="113">
        <f>IF(AND(ABS(Nov!E54)&gt;קריטריונים!$B$1,Nov!B54&gt;קריטריונים!$B$3),Nov!E54,"")</f>
        <v>0.11072653472200367</v>
      </c>
      <c r="I53" s="113">
        <f>IF(AND(ABS(Oct!K54)&gt;קריטריונים!$B$2,Oct!B54&gt;קריטריונים!$B$3),Oct!K54,"")</f>
        <v>5.2155002283087226E-2</v>
      </c>
      <c r="J53" s="113">
        <f>IF(AND(ABS(Oct!J54)&gt;קריטריונים!$B$2,Oct!B54&gt;קריטריונים!$B$3),Oct!J54,"")</f>
        <v>0.27717340247637301</v>
      </c>
      <c r="K53" s="113">
        <f>IF(AND(ABS(Oct!F54)&gt;קריטריונים!$B$1,Oct!B54&gt;קריטריונים!$B$3),Oct!F54,"")</f>
        <v>0.33746732324153439</v>
      </c>
      <c r="L53" s="113">
        <f>IF(AND(ABS(Oct!E54)&gt;קריטריונים!$B$1,Oct!B54&gt;קריטריונים!$B$3),Oct!E54,"")</f>
        <v>0.40998525924501705</v>
      </c>
      <c r="M53" s="113">
        <f>IF(AND(ABS(Sep!K54)&gt;קריטריונים!$B$2,Sep!B54&gt;קריטריונים!$B$3),Sep!K54,"")</f>
        <v>1.0535464074777012E-2</v>
      </c>
      <c r="N53" s="113">
        <f>IF(AND(ABS(Sep!J54)&gt;קריטריונים!$B$2,Sep!B54&gt;קריטריונים!$B$3),Sep!J54,"")</f>
        <v>0.25436192111665168</v>
      </c>
      <c r="O53" s="113">
        <f>IF(AND(ABS(Sep!F54)&gt;קריטריונים!$B$1,Sep!B54&gt;קריטריונים!$B$3),Sep!F54,"")</f>
        <v>0.16970898935524326</v>
      </c>
      <c r="P53" s="113">
        <f>IF(AND(ABS(Sep!E54)&gt;קריטריונים!$B$1,Sep!B54&gt;קריטריונים!$B$3),Sep!E54,"")</f>
        <v>8.6874764949228966E-2</v>
      </c>
      <c r="Q53" s="113">
        <f>IF(AND(ABS(Aug!K54)&gt;קריטריונים!$B$2,Aug!B54&gt;קריטריונים!$B$3),Aug!K54,"")</f>
        <v>-9.0480387616586055E-3</v>
      </c>
      <c r="R53" s="113">
        <f>IF(AND(ABS(Aug!J54)&gt;קריטריונים!$B$2,Aug!B54&gt;קריטריונים!$B$3),Aug!J54,"")</f>
        <v>0.2830762882343838</v>
      </c>
      <c r="S53" s="113">
        <f>IF(AND(ABS(Aug!F54)&gt;קריטריונים!$B$1,Aug!B54&gt;קריטריונים!$B$3),Aug!F54,"")</f>
        <v>-1.1124845488257096E-2</v>
      </c>
      <c r="T53" s="113">
        <f>IF(AND(ABS(Aug!E54)&gt;קריטריונים!$B$1,Aug!B54&gt;קריטריונים!$B$3),Aug!E54,"")</f>
        <v>0.19465004544864306</v>
      </c>
      <c r="U53" s="113">
        <f>IF(AND(ABS(Jul!K54)&gt;קריטריונים!$B$2,Jul!B54&gt;קריטריונים!$B$3),Jul!K54,"")</f>
        <v>-0.10067374774048021</v>
      </c>
      <c r="V53" s="113">
        <f>IF(AND(ABS(Jul!J54)&gt;קריטריונים!$B$2,Jul!B54&gt;קריטריונים!$B$3),Jul!J54,"")</f>
        <v>0.29282574770569947</v>
      </c>
      <c r="W53" s="113">
        <f>IF(AND(ABS(Jul!F54)&gt;קריטריונים!$B$1,Jul!B54&gt;קריטריונים!$B$3),Jul!F54,"")</f>
        <v>-2.3752969121140222E-3</v>
      </c>
      <c r="X53" s="113">
        <f>IF(AND(ABS(Jul!E54)&gt;קריטריונים!$B$1,Jul!B54&gt;קריטריונים!$B$3),Jul!E54,"")</f>
        <v>0.21739130434782616</v>
      </c>
      <c r="Y53" s="113">
        <f>IF(AND(ABS(Jun!K54)&gt;קריטריונים!$B$2,Jun!B54&gt;קריטריונים!$B$3),Jun!K54,"")</f>
        <v>-0.27996860013444202</v>
      </c>
      <c r="Z53" s="113">
        <f>IF(AND(ABS(Jun!J54)&gt;קריטריונים!$B$2,Jun!B54&gt;קריטריונים!$B$3),Jun!J54,"")</f>
        <v>0.30345300708895495</v>
      </c>
      <c r="AA53" s="113">
        <f>IF(AND(ABS(Jun!F54)&gt;קריטריונים!$B$1,Jun!B54&gt;קריטריונים!$B$3),Jun!F54,"")</f>
        <v>-8.7497531108038706E-2</v>
      </c>
      <c r="AB53" s="113">
        <f>IF(AND(ABS(Jun!E54)&gt;קריטריונים!$B$1,Jun!B54&gt;קריטריונים!$B$3),Jun!E54,"")</f>
        <v>0.16173808086904051</v>
      </c>
      <c r="AC53" s="113">
        <f>IF(AND(ABS(May!K54)&gt;קריטריונים!$B$2,May!B54&gt;קריטריונים!$B$3),May!K54,"")</f>
        <v>4.821671758253876E-3</v>
      </c>
      <c r="AD53" s="113">
        <f>IF(AND(ABS(May!J54)&gt;קריטריונים!$B$2,May!B54&gt;קריטריונים!$B$3),May!J54,"")</f>
        <v>0.33092823712948505</v>
      </c>
      <c r="AE53" s="113">
        <f>IF(AND(ABS(May!F54)&gt;קריטריונים!$B$1,May!B54&gt;קריטריונים!$B$3),May!F54,"")</f>
        <v>-9.4240207147804345E-3</v>
      </c>
      <c r="AF53" s="113">
        <f>IF(AND(ABS(May!E54)&gt;קריטריונים!$B$1,May!B54&gt;קריטריונים!$B$3),May!E54,"")</f>
        <v>0.29334067143643372</v>
      </c>
      <c r="AG53" s="113">
        <f>IF(AND(ABS(Apr!K54)&gt;קריטריונים!$B$2,Apr!B54&gt;קריטריונים!$B$3),Apr!K54,"")</f>
        <v>9.431756177410433E-3</v>
      </c>
      <c r="AH53" s="113">
        <f>IF(AND(ABS(Apr!J54)&gt;קריטריונים!$B$2,Apr!B54&gt;קריטריונים!$B$3),Apr!J54,"")</f>
        <v>0.3433261585539793</v>
      </c>
      <c r="AI53" s="113">
        <f>IF(AND(ABS(Apr!F54)&gt;קריטריונים!$B$1,Apr!B54&gt;קריטריונים!$B$3),Apr!F54,"")</f>
        <v>-1.7366780466082865E-2</v>
      </c>
      <c r="AJ53" s="113">
        <f>IF(AND(ABS(Apr!E54)&gt;קריטריונים!$B$1,Apr!B54&gt;קריטריונים!$B$3),Apr!E54,"")</f>
        <v>0.33656369876842329</v>
      </c>
      <c r="AK53" s="113">
        <f>IF(AND(ABS(Mar!K54)&gt;קריטריונים!$B$2,Mar!B54&gt;קריטריונים!$B$3),Mar!K54,"")</f>
        <v>2.2524547841095366E-2</v>
      </c>
      <c r="AL53" s="113">
        <f>IF(AND(ABS(Mar!J54)&gt;קריטריונים!$B$2,Mar!B54&gt;קריטריונים!$B$3),Mar!J54,"")</f>
        <v>0.34652481998586637</v>
      </c>
      <c r="AM53" s="113">
        <f>IF(AND(ABS(Mar!F54)&gt;קריטריונים!$B$1,Mar!B54&gt;קריטריונים!$B$3),Mar!F54,"")</f>
        <v>2.9866117404737436E-2</v>
      </c>
      <c r="AN53" s="113">
        <f>IF(AND(ABS(Mar!E54)&gt;קריטריונים!$B$1,Mar!B54&gt;קריטריונים!$B$3),Mar!E54,"")</f>
        <v>0.31688687941705806</v>
      </c>
      <c r="AO53" s="113">
        <f>IF(AND(ABS(Feb!K54)&gt;קריטריונים!$B$2,Feb!B54&gt;קריטריונים!$B$3),Feb!K54,"")</f>
        <v>1.7153477157997754E-2</v>
      </c>
      <c r="AP53" s="113">
        <f>IF(AND(ABS(Feb!J54)&gt;קריטריונים!$B$2,Feb!B54&gt;קריטריונים!$B$3),Feb!J54,"")</f>
        <v>0.36935352988909931</v>
      </c>
      <c r="AQ53" s="113">
        <f>IF(AND(ABS(Feb!F54)&gt;קריטריונים!$B$1,Feb!B54&gt;קריטריונים!$B$3),Feb!F54,"")</f>
        <v>0.23427626528081258</v>
      </c>
      <c r="AR53" s="113">
        <f>IF(AND(ABS(Feb!E54)&gt;קריטריונים!$B$1,Feb!B54&gt;קריטריונים!$B$3),Feb!E54,"")</f>
        <v>0.5350716121924346</v>
      </c>
      <c r="AS53" s="113">
        <f>IF(AND(ABS(Jan!F54)&gt;קריטריונים!$B$1,Jan!B54&gt;קריטריונים!$B$3),Jan!F54,"")</f>
        <v>-0.1435063800034958</v>
      </c>
      <c r="AT53" s="103">
        <f>IF(AND(ABS(Jan!E54)&gt;קריטריונים!$B$1,Jan!B54&gt;קריטריונים!$B$3),Jan!E54,"")</f>
        <v>0.22799323350667255</v>
      </c>
      <c r="AU53" s="118" t="s">
        <v>44</v>
      </c>
      <c r="AV53" s="4"/>
    </row>
    <row r="54" spans="1:48">
      <c r="A54" s="112" t="str">
        <f>IF(AND(ABS(Dec!K55)&gt;קריטריונים!$B$2,Dec!B55&gt;קריטריונים!$B$3),Dec!K55,"")</f>
        <v/>
      </c>
      <c r="B54" s="113" t="str">
        <f>IF(AND(ABS(Dec!J55)&gt;קריטריונים!$B$2,Dec!B55&gt;קריטריונים!$B$3),Dec!J55,"")</f>
        <v/>
      </c>
      <c r="C54" s="113" t="str">
        <f>IF(AND(ABS(Dec!F55)&gt;קריטריונים!$B$1,Dec!B55&gt;קריטריונים!$B$3),Dec!F55,"")</f>
        <v/>
      </c>
      <c r="D54" s="113" t="str">
        <f>IF(AND(ABS(Dec!E55)&gt;קריטריונים!$B$1,Dec!B55&gt;קריטריונים!$B$3),Dec!E55,"")</f>
        <v/>
      </c>
      <c r="E54" s="113">
        <f>IF(AND(ABS(Nov!K55)&gt;קריטריונים!$B$2,Nov!B55&gt;קריטריונים!$B$3),Nov!K55,"")</f>
        <v>0.29583704068303573</v>
      </c>
      <c r="F54" s="113">
        <f>IF(AND(ABS(Nov!J55)&gt;קריטריונים!$B$2,Nov!B55&gt;קריטריונים!$B$3),Nov!J55,"")</f>
        <v>0.11668501978057844</v>
      </c>
      <c r="G54" s="113">
        <f>IF(AND(ABS(Nov!F55)&gt;קריטריונים!$B$1,Nov!B55&gt;קריטריונים!$B$3),Nov!F55,"")</f>
        <v>0.46135403584884127</v>
      </c>
      <c r="H54" s="113">
        <f>IF(AND(ABS(Nov!E55)&gt;קריטריונים!$B$1,Nov!B55&gt;קריטריונים!$B$3),Nov!E55,"")</f>
        <v>-6.9090909090909092E-2</v>
      </c>
      <c r="I54" s="113">
        <f>IF(AND(ABS(Oct!K55)&gt;קריטריונים!$B$2,Oct!B55&gt;קריטריונים!$B$3),Oct!K55,"")</f>
        <v>0.28087359501274678</v>
      </c>
      <c r="J54" s="113">
        <f>IF(AND(ABS(Oct!J55)&gt;קריטריונים!$B$2,Oct!B55&gt;קריטריונים!$B$3),Oct!J55,"")</f>
        <v>0.14015342918829532</v>
      </c>
      <c r="K54" s="113">
        <f>IF(AND(ABS(Oct!F55)&gt;קריטריונים!$B$1,Oct!B55&gt;קריטריונים!$B$3),Oct!F55,"")</f>
        <v>0.37303424602857826</v>
      </c>
      <c r="L54" s="113">
        <f>IF(AND(ABS(Oct!E55)&gt;קריטריונים!$B$1,Oct!B55&gt;קריטריונים!$B$3),Oct!E55,"")</f>
        <v>0.29352485523050298</v>
      </c>
      <c r="M54" s="113">
        <f>IF(AND(ABS(Sep!K55)&gt;קריטריונים!$B$2,Sep!B55&gt;קריטריונים!$B$3),Sep!K55,"")</f>
        <v>0.26718824087245152</v>
      </c>
      <c r="N54" s="113">
        <f>IF(AND(ABS(Sep!J55)&gt;קריטריונים!$B$2,Sep!B55&gt;קריטריונים!$B$3),Sep!J55,"")</f>
        <v>0.11880939423117187</v>
      </c>
      <c r="O54" s="113">
        <f>IF(AND(ABS(Sep!F55)&gt;קריטריונים!$B$1,Sep!B55&gt;קריטריונים!$B$3),Sep!F55,"")</f>
        <v>0.18082593987361983</v>
      </c>
      <c r="P54" s="113">
        <f>IF(AND(ABS(Sep!E55)&gt;קריטריונים!$B$1,Sep!B55&gt;קריטריונים!$B$3),Sep!E55,"")</f>
        <v>-3.0652344773382301E-2</v>
      </c>
      <c r="Q54" s="113">
        <f>IF(AND(ABS(Aug!K55)&gt;קריטריונים!$B$2,Aug!B55&gt;קריטריונים!$B$3),Aug!K55,"")</f>
        <v>0.28688512657767173</v>
      </c>
      <c r="R54" s="113">
        <f>IF(AND(ABS(Aug!J55)&gt;קריטריונים!$B$2,Aug!B55&gt;קריטריונים!$B$3),Aug!J55,"")</f>
        <v>0.15611472215319844</v>
      </c>
      <c r="S54" s="113">
        <f>IF(AND(ABS(Aug!F55)&gt;קריטריונים!$B$1,Aug!B55&gt;קריטריונים!$B$3),Aug!F55,"")</f>
        <v>0.17004680187207488</v>
      </c>
      <c r="T54" s="113">
        <f>IF(AND(ABS(Aug!E55)&gt;קריטריונים!$B$1,Aug!B55&gt;קריטריונים!$B$3),Aug!E55,"")</f>
        <v>-8.3737329219921719E-3</v>
      </c>
      <c r="U54" s="113">
        <f>IF(AND(ABS(Jul!K55)&gt;קריטריונים!$B$2,Jul!B55&gt;קריטריונים!$B$3),Jul!K55,"")</f>
        <v>0.15586741007089522</v>
      </c>
      <c r="V54" s="113">
        <f>IF(AND(ABS(Jul!J55)&gt;קריטריונים!$B$2,Jul!B55&gt;קריטריונים!$B$3),Jul!J55,"")</f>
        <v>0.1782688055559678</v>
      </c>
      <c r="W54" s="113">
        <f>IF(AND(ABS(Jul!F55)&gt;קריטריונים!$B$1,Jul!B55&gt;קריטריונים!$B$3),Jul!F55,"")</f>
        <v>8.0024686278543644E-2</v>
      </c>
      <c r="X54" s="113">
        <f>IF(AND(ABS(Jul!E55)&gt;קריטריונים!$B$1,Jul!B55&gt;קריטריונים!$B$3),Jul!E55,"")</f>
        <v>1.7639077340569909E-2</v>
      </c>
      <c r="Y54" s="113">
        <f>IF(AND(ABS(Jun!K55)&gt;קריטריונים!$B$2,Jun!B55&gt;קריטריונים!$B$3),Jun!K55,"")</f>
        <v>0.12458582923923167</v>
      </c>
      <c r="Z54" s="113">
        <f>IF(AND(ABS(Jun!J55)&gt;קריטריונים!$B$2,Jun!B55&gt;קריטריונים!$B$3),Jun!J55,"")</f>
        <v>0.20731044875501592</v>
      </c>
      <c r="AA54" s="113">
        <f>IF(AND(ABS(Jun!F55)&gt;קריטריונים!$B$1,Jun!B55&gt;קריטריונים!$B$3),Jun!F55,"")</f>
        <v>0.19567477646080267</v>
      </c>
      <c r="AB54" s="113">
        <f>IF(AND(ABS(Jun!E55)&gt;קריטריונים!$B$1,Jun!B55&gt;קריטריונים!$B$3),Jun!E55,"")</f>
        <v>7.1761416589002813E-2</v>
      </c>
      <c r="AC54" s="113">
        <f>IF(AND(ABS(May!K55)&gt;קריטריונים!$B$2,May!B55&gt;קריטריונים!$B$3),May!K55,"")</f>
        <v>0.37778737908355553</v>
      </c>
      <c r="AD54" s="113">
        <f>IF(AND(ABS(May!J55)&gt;קריטריונים!$B$2,May!B55&gt;קריטריונים!$B$3),May!J55,"")</f>
        <v>0.23869742549472384</v>
      </c>
      <c r="AE54" s="113">
        <f>IF(AND(ABS(May!F55)&gt;קריטריונים!$B$1,May!B55&gt;קריטריונים!$B$3),May!F55,"")</f>
        <v>0.36081254314170197</v>
      </c>
      <c r="AF54" s="113">
        <f>IF(AND(ABS(May!E55)&gt;קריטריונים!$B$1,May!B55&gt;קריטריונים!$B$3),May!E55,"")</f>
        <v>0.20429356837420376</v>
      </c>
      <c r="AG54" s="113">
        <f>IF(AND(ABS(Apr!K55)&gt;קריטריונים!$B$2,Apr!B55&gt;קריטריונים!$B$3),Apr!K55,"")</f>
        <v>0.38324873096446699</v>
      </c>
      <c r="AH54" s="113">
        <f>IF(AND(ABS(Apr!J55)&gt;קריטריונים!$B$2,Apr!B55&gt;קריטריונים!$B$3),Apr!J55,"")</f>
        <v>0.25000000000000022</v>
      </c>
      <c r="AI54" s="113">
        <f>IF(AND(ABS(Apr!F55)&gt;קריטריונים!$B$1,Apr!B55&gt;קריטריונים!$B$3),Apr!F55,"")</f>
        <v>0.36330523467582476</v>
      </c>
      <c r="AJ54" s="113">
        <f>IF(AND(ABS(Apr!E55)&gt;קריטריונים!$B$1,Apr!B55&gt;קריטריונים!$B$3),Apr!E55,"")</f>
        <v>0.19438366156090447</v>
      </c>
      <c r="AK54" s="113">
        <f>IF(AND(ABS(Mar!K55)&gt;קריטריונים!$B$2,Mar!B55&gt;קריטריונים!$B$3),Mar!K55,"")</f>
        <v>0.39199488841221286</v>
      </c>
      <c r="AL54" s="113">
        <f>IF(AND(ABS(Mar!J55)&gt;קריטריונים!$B$2,Mar!B55&gt;קריטריונים!$B$3),Mar!J55,"")</f>
        <v>0.27551020408163263</v>
      </c>
      <c r="AM54" s="113">
        <f>IF(AND(ABS(Mar!F55)&gt;קריטריונים!$B$1,Mar!B55&gt;קריטריונים!$B$3),Mar!F55,"")</f>
        <v>0.47706968433591435</v>
      </c>
      <c r="AN54" s="113">
        <f>IF(AND(ABS(Mar!E55)&gt;קריטריונים!$B$1,Mar!B55&gt;קריטריונים!$B$3),Mar!E55,"")</f>
        <v>0.27650813259213503</v>
      </c>
      <c r="AO54" s="113">
        <f>IF(AND(ABS(Feb!K55)&gt;קריטריונים!$B$2,Feb!B55&gt;קריטריונים!$B$3),Feb!K55,"")</f>
        <v>0.33915359573838422</v>
      </c>
      <c r="AP54" s="113">
        <f>IF(AND(ABS(Feb!J55)&gt;קריטריונים!$B$2,Feb!B55&gt;קריטריונים!$B$3),Feb!J55,"")</f>
        <v>0.27482744048457541</v>
      </c>
      <c r="AQ54" s="113">
        <f>IF(AND(ABS(Feb!F55)&gt;קריטריונים!$B$1,Feb!B55&gt;קריטריונים!$B$3),Feb!F55,"")</f>
        <v>0.4961782403642867</v>
      </c>
      <c r="AR54" s="113">
        <f>IF(AND(ABS(Feb!E55)&gt;קריטריונים!$B$1,Feb!B55&gt;קריטריונים!$B$3),Feb!E55,"")</f>
        <v>0.31786277037673671</v>
      </c>
      <c r="AS54" s="113">
        <f>IF(AND(ABS(Jan!F55)&gt;קריטריונים!$B$1,Jan!B55&gt;קריטריונים!$B$3),Jan!F55,"")</f>
        <v>0.20809013166825041</v>
      </c>
      <c r="AT54" s="103">
        <f>IF(AND(ABS(Jan!E55)&gt;קריטריונים!$B$1,Jan!B55&gt;קריטריונים!$B$3),Jan!E55,"")</f>
        <v>0.23319939032839132</v>
      </c>
      <c r="AU54" s="118" t="s">
        <v>45</v>
      </c>
      <c r="AV54" s="4"/>
    </row>
    <row r="55" spans="1:48">
      <c r="A55" s="112" t="str">
        <f>IF(AND(ABS(Dec!K56)&gt;קריטריונים!$B$2,Dec!B56&gt;קריטריונים!$B$3),Dec!K56,"")</f>
        <v/>
      </c>
      <c r="B55" s="113" t="str">
        <f>IF(AND(ABS(Dec!J56)&gt;קריטריונים!$B$2,Dec!B56&gt;קריטריונים!$B$3),Dec!J56,"")</f>
        <v/>
      </c>
      <c r="C55" s="113" t="str">
        <f>IF(AND(ABS(Dec!F56)&gt;קריטריונים!$B$1,Dec!B56&gt;קריטריונים!$B$3),Dec!F56,"")</f>
        <v/>
      </c>
      <c r="D55" s="113" t="str">
        <f>IF(AND(ABS(Dec!E56)&gt;קריטריונים!$B$1,Dec!B56&gt;קריטריונים!$B$3),Dec!E56,"")</f>
        <v/>
      </c>
      <c r="E55" s="113">
        <f>IF(AND(ABS(Nov!K56)&gt;קריטריונים!$B$2,Nov!B56&gt;קריטריונים!$B$3),Nov!K56,"")</f>
        <v>0.62601626016260181</v>
      </c>
      <c r="F55" s="113">
        <f>IF(AND(ABS(Nov!J56)&gt;קריטריונים!$B$2,Nov!B56&gt;קריטריונים!$B$3),Nov!J56,"")</f>
        <v>0.13846591717660472</v>
      </c>
      <c r="G55" s="113">
        <f>IF(AND(ABS(Nov!F56)&gt;קריטריונים!$B$1,Nov!B56&gt;קריטריונים!$B$3),Nov!F56,"")</f>
        <v>1.3711340206185567</v>
      </c>
      <c r="H55" s="113">
        <f>IF(AND(ABS(Nov!E56)&gt;קריטריונים!$B$1,Nov!B56&gt;קריטריונים!$B$3),Nov!E56,"")</f>
        <v>0.11922141119221386</v>
      </c>
      <c r="I55" s="113">
        <f>IF(AND(ABS(Oct!K56)&gt;קריטריונים!$B$2,Oct!B56&gt;קריטריונים!$B$3),Oct!K56,"")</f>
        <v>0.57360406091370586</v>
      </c>
      <c r="J55" s="113">
        <f>IF(AND(ABS(Oct!J56)&gt;קריטריונים!$B$2,Oct!B56&gt;קריטריונים!$B$3),Oct!J56,"")</f>
        <v>0.14054451802796186</v>
      </c>
      <c r="K55" s="113">
        <f>IF(AND(ABS(Oct!F56)&gt;קריטריונים!$B$1,Oct!B56&gt;קריטריונים!$B$3),Oct!F56,"")</f>
        <v>1.0174482006543077</v>
      </c>
      <c r="L55" s="113">
        <f>IF(AND(ABS(Oct!E56)&gt;קריטריונים!$B$1,Oct!B56&gt;קריטריונים!$B$3),Oct!E56,"")</f>
        <v>0.28830083565459619</v>
      </c>
      <c r="M55" s="113">
        <f>IF(AND(ABS(Sep!K56)&gt;קריטריונים!$B$2,Sep!B56&gt;קריטריונים!$B$3),Sep!K56,"")</f>
        <v>0.50552024088323888</v>
      </c>
      <c r="N55" s="113">
        <f>IF(AND(ABS(Sep!J56)&gt;קריטריונים!$B$2,Sep!B56&gt;קריטריונים!$B$3),Sep!J56,"")</f>
        <v>0.11427510214188463</v>
      </c>
      <c r="O55" s="113">
        <f>IF(AND(ABS(Sep!F56)&gt;קריטריונים!$B$1,Sep!B56&gt;קריטריונים!$B$3),Sep!F56,"")</f>
        <v>0.55844155844155852</v>
      </c>
      <c r="P55" s="113">
        <f>IF(AND(ABS(Sep!E56)&gt;קריטריונים!$B$1,Sep!B56&gt;קריטריונים!$B$3),Sep!E56,"")</f>
        <v>0.22866894197952226</v>
      </c>
      <c r="Q55" s="113">
        <f>IF(AND(ABS(Aug!K56)&gt;קריטריונים!$B$2,Aug!B56&gt;קריטריונים!$B$3),Aug!K56,"")</f>
        <v>0.49284677586564385</v>
      </c>
      <c r="R55" s="113">
        <f>IF(AND(ABS(Aug!J56)&gt;קריטריונים!$B$2,Aug!B56&gt;קריטריונים!$B$3),Aug!J56,"")</f>
        <v>8.8929219600726084E-2</v>
      </c>
      <c r="S55" s="113">
        <f>IF(AND(ABS(Aug!F56)&gt;קריטריונים!$B$1,Aug!B56&gt;קריטריונים!$B$3),Aug!F56,"")</f>
        <v>0.64285714285714279</v>
      </c>
      <c r="T55" s="113">
        <f>IF(AND(ABS(Aug!E56)&gt;קריטריונים!$B$1,Aug!B56&gt;קריטריונים!$B$3),Aug!E56,"")</f>
        <v>0.27353266888150585</v>
      </c>
      <c r="U55" s="113">
        <f>IF(AND(ABS(Jul!K56)&gt;קריטריונים!$B$2,Jul!B56&gt;קריטריונים!$B$3),Jul!K56,"")</f>
        <v>0.25440597138710341</v>
      </c>
      <c r="V55" s="113">
        <f>IF(AND(ABS(Jul!J56)&gt;קריטריונים!$B$2,Jul!B56&gt;קריטריונים!$B$3),Jul!J56,"")</f>
        <v>5.9730250481695668E-2</v>
      </c>
      <c r="W55" s="113">
        <f>IF(AND(ABS(Jul!F56)&gt;קריטריונים!$B$1,Jul!B56&gt;קריטריונים!$B$3),Jul!F56,"")</f>
        <v>0.6272189349112427</v>
      </c>
      <c r="X55" s="113">
        <f>IF(AND(ABS(Jul!E56)&gt;קריטריונים!$B$1,Jul!B56&gt;קריטריונים!$B$3),Jul!E56,"")</f>
        <v>0.19695321001088151</v>
      </c>
      <c r="Y55" s="113">
        <f>IF(AND(ABS(Jun!K56)&gt;קריטריונים!$B$2,Jun!B56&gt;קריטריונים!$B$3),Jun!K56,"")</f>
        <v>-0.11115101454480159</v>
      </c>
      <c r="Z55" s="113">
        <f>IF(AND(ABS(Jun!J56)&gt;קריטריונים!$B$2,Jun!B56&gt;קריטריונים!$B$3),Jun!J56,"")</f>
        <v>3.3402922755741082E-2</v>
      </c>
      <c r="AA55" s="113">
        <f>IF(AND(ABS(Jun!F56)&gt;קריטריונים!$B$1,Jun!B56&gt;קריטריונים!$B$3),Jun!F56,"")</f>
        <v>0.98255352894528158</v>
      </c>
      <c r="AB55" s="113">
        <f>IF(AND(ABS(Jun!E56)&gt;קריטריונים!$B$1,Jun!B56&gt;קריטריונים!$B$3),Jun!E56,"")</f>
        <v>0.33761369716425893</v>
      </c>
      <c r="AC55" s="113">
        <f>IF(AND(ABS(May!K56)&gt;קריטריונים!$B$2,May!B56&gt;קריטריונים!$B$3),May!K56,"")</f>
        <v>0.31368720042606069</v>
      </c>
      <c r="AD55" s="113">
        <f>IF(AND(ABS(May!J56)&gt;קריטריונים!$B$2,May!B56&gt;קריטריונים!$B$3),May!J56,"")</f>
        <v>-4.0331993256386922E-2</v>
      </c>
      <c r="AE55" s="113">
        <f>IF(AND(ABS(May!F56)&gt;קריטריונים!$B$1,May!B56&gt;קריטריונים!$B$3),May!F56,"")</f>
        <v>0.68067226890756305</v>
      </c>
      <c r="AF55" s="113">
        <f>IF(AND(ABS(May!E56)&gt;קריטריונים!$B$1,May!B56&gt;קריטריונים!$B$3),May!E56,"")</f>
        <v>0.13935144609991235</v>
      </c>
      <c r="AG55" s="113">
        <f>IF(AND(ABS(Apr!K56)&gt;קריטריונים!$B$2,Apr!B56&gt;קריטריונים!$B$3),Apr!K56,"")</f>
        <v>0.17474302496328931</v>
      </c>
      <c r="AH55" s="113">
        <f>IF(AND(ABS(Apr!J56)&gt;קריטריונים!$B$2,Apr!B56&gt;קריטריונים!$B$3),Apr!J56,"")</f>
        <v>-0.11585927426782083</v>
      </c>
      <c r="AI55" s="113">
        <f>IF(AND(ABS(Apr!F56)&gt;קריטריונים!$B$1,Apr!B56&gt;קריטריונים!$B$3),Apr!F56,"")</f>
        <v>0.46036161335187775</v>
      </c>
      <c r="AJ55" s="113">
        <f>IF(AND(ABS(Apr!E56)&gt;קריטריונים!$B$1,Apr!B56&gt;קריטריונים!$B$3),Apr!E56,"")</f>
        <v>0.24333925399644762</v>
      </c>
      <c r="AK55" s="113" t="str">
        <f>IF(AND(ABS(Mar!K56)&gt;קריטריונים!$B$2,Mar!B56&gt;קריטריונים!$B$3),Mar!K56,"")</f>
        <v/>
      </c>
      <c r="AL55" s="113" t="str">
        <f>IF(AND(ABS(Mar!J56)&gt;קריטריונים!$B$2,Mar!B56&gt;קריטריונים!$B$3),Mar!J56,"")</f>
        <v/>
      </c>
      <c r="AM55" s="113" t="str">
        <f>IF(AND(ABS(Mar!F56)&gt;קריטריונים!$B$1,Mar!B56&gt;קריטריונים!$B$3),Mar!F56,"")</f>
        <v/>
      </c>
      <c r="AN55" s="113" t="str">
        <f>IF(AND(ABS(Mar!E56)&gt;קריטריונים!$B$1,Mar!B56&gt;קריטריונים!$B$3),Mar!E56,"")</f>
        <v/>
      </c>
      <c r="AO55" s="113" t="str">
        <f>IF(AND(ABS(Feb!K56)&gt;קריטריונים!$B$2,Feb!B56&gt;קריטריונים!$B$3),Feb!K56,"")</f>
        <v/>
      </c>
      <c r="AP55" s="113" t="str">
        <f>IF(AND(ABS(Feb!J56)&gt;קריטריונים!$B$2,Feb!B56&gt;קריטריונים!$B$3),Feb!J56,"")</f>
        <v/>
      </c>
      <c r="AQ55" s="113" t="str">
        <f>IF(AND(ABS(Feb!F56)&gt;קריטריונים!$B$1,Feb!B56&gt;קריטריונים!$B$3),Feb!F56,"")</f>
        <v/>
      </c>
      <c r="AR55" s="113" t="str">
        <f>IF(AND(ABS(Feb!E56)&gt;קריטריונים!$B$1,Feb!B56&gt;קריטריונים!$B$3),Feb!E56,"")</f>
        <v/>
      </c>
      <c r="AS55" s="113" t="str">
        <f>IF(AND(ABS(Jan!F56)&gt;קריטריונים!$B$1,Jan!B56&gt;קריטריונים!$B$3),Jan!F56,"")</f>
        <v/>
      </c>
      <c r="AT55" s="103" t="str">
        <f>IF(AND(ABS(Jan!E56)&gt;קריטריונים!$B$1,Jan!B56&gt;קריטריונים!$B$3),Jan!E56,"")</f>
        <v/>
      </c>
      <c r="AU55" s="118" t="s">
        <v>46</v>
      </c>
      <c r="AV55" s="4"/>
    </row>
    <row r="56" spans="1:48">
      <c r="A56" s="112" t="str">
        <f>IF(AND(ABS(Dec!K57)&gt;קריטריונים!$B$2,Dec!B57&gt;קריטריונים!$B$3),Dec!K57,"")</f>
        <v/>
      </c>
      <c r="B56" s="113" t="str">
        <f>IF(AND(ABS(Dec!J57)&gt;קריטריונים!$B$2,Dec!B57&gt;קריטריונים!$B$3),Dec!J57,"")</f>
        <v/>
      </c>
      <c r="C56" s="113" t="str">
        <f>IF(AND(ABS(Dec!F57)&gt;קריטריונים!$B$1,Dec!B57&gt;קריטריונים!$B$3),Dec!F57,"")</f>
        <v/>
      </c>
      <c r="D56" s="113" t="str">
        <f>IF(AND(ABS(Dec!E57)&gt;קריטריונים!$B$1,Dec!B57&gt;קריטריונים!$B$3),Dec!E57,"")</f>
        <v/>
      </c>
      <c r="E56" s="113" t="str">
        <f>IF(AND(ABS(Nov!K57)&gt;קריטריונים!$B$2,Nov!B57&gt;קריטריונים!$B$3),Nov!K57,"")</f>
        <v/>
      </c>
      <c r="F56" s="113" t="str">
        <f>IF(AND(ABS(Nov!J57)&gt;קריטריונים!$B$2,Nov!B57&gt;קריטריונים!$B$3),Nov!J57,"")</f>
        <v/>
      </c>
      <c r="G56" s="113" t="str">
        <f>IF(AND(ABS(Nov!F57)&gt;קריטריונים!$B$1,Nov!B57&gt;קריטריונים!$B$3),Nov!F57,"")</f>
        <v/>
      </c>
      <c r="H56" s="113" t="str">
        <f>IF(AND(ABS(Nov!E57)&gt;קריטריונים!$B$1,Nov!B57&gt;קריטריונים!$B$3),Nov!E57,"")</f>
        <v/>
      </c>
      <c r="I56" s="113" t="str">
        <f>IF(AND(ABS(Oct!K57)&gt;קריטריונים!$B$2,Oct!B57&gt;קריטריונים!$B$3),Oct!K57,"")</f>
        <v/>
      </c>
      <c r="J56" s="113" t="str">
        <f>IF(AND(ABS(Oct!J57)&gt;קריטריונים!$B$2,Oct!B57&gt;קריטריונים!$B$3),Oct!J57,"")</f>
        <v/>
      </c>
      <c r="K56" s="113" t="str">
        <f>IF(AND(ABS(Oct!F57)&gt;קריטריונים!$B$1,Oct!B57&gt;קריטריונים!$B$3),Oct!F57,"")</f>
        <v/>
      </c>
      <c r="L56" s="113" t="str">
        <f>IF(AND(ABS(Oct!E57)&gt;קריטריונים!$B$1,Oct!B57&gt;קריטריונים!$B$3),Oct!E57,"")</f>
        <v/>
      </c>
      <c r="M56" s="113" t="str">
        <f>IF(AND(ABS(Sep!K57)&gt;קריטריונים!$B$2,Sep!B57&gt;קריטריונים!$B$3),Sep!K57,"")</f>
        <v/>
      </c>
      <c r="N56" s="113" t="str">
        <f>IF(AND(ABS(Sep!J57)&gt;קריטריונים!$B$2,Sep!B57&gt;קריטריונים!$B$3),Sep!J57,"")</f>
        <v/>
      </c>
      <c r="O56" s="113" t="str">
        <f>IF(AND(ABS(Sep!F57)&gt;קריטריונים!$B$1,Sep!B57&gt;קריטריונים!$B$3),Sep!F57,"")</f>
        <v/>
      </c>
      <c r="P56" s="113" t="str">
        <f>IF(AND(ABS(Sep!E57)&gt;קריטריונים!$B$1,Sep!B57&gt;קריטריונים!$B$3),Sep!E57,"")</f>
        <v/>
      </c>
      <c r="Q56" s="113" t="str">
        <f>IF(AND(ABS(Aug!K57)&gt;קריטריונים!$B$2,Aug!B57&gt;קריטריונים!$B$3),Aug!K57,"")</f>
        <v/>
      </c>
      <c r="R56" s="113" t="str">
        <f>IF(AND(ABS(Aug!J57)&gt;קריטריונים!$B$2,Aug!B57&gt;קריטריונים!$B$3),Aug!J57,"")</f>
        <v/>
      </c>
      <c r="S56" s="113" t="str">
        <f>IF(AND(ABS(Aug!F57)&gt;קריטריונים!$B$1,Aug!B57&gt;קריטריונים!$B$3),Aug!F57,"")</f>
        <v/>
      </c>
      <c r="T56" s="113" t="str">
        <f>IF(AND(ABS(Aug!E57)&gt;קריטריונים!$B$1,Aug!B57&gt;קריטריונים!$B$3),Aug!E57,"")</f>
        <v/>
      </c>
      <c r="U56" s="113" t="str">
        <f>IF(AND(ABS(Jul!K57)&gt;קריטריונים!$B$2,Jul!B57&gt;קריטריונים!$B$3),Jul!K57,"")</f>
        <v/>
      </c>
      <c r="V56" s="113" t="str">
        <f>IF(AND(ABS(Jul!J57)&gt;קריטריונים!$B$2,Jul!B57&gt;קריטריונים!$B$3),Jul!J57,"")</f>
        <v/>
      </c>
      <c r="W56" s="113" t="str">
        <f>IF(AND(ABS(Jul!F57)&gt;קריטריונים!$B$1,Jul!B57&gt;קריטריונים!$B$3),Jul!F57,"")</f>
        <v/>
      </c>
      <c r="X56" s="113" t="str">
        <f>IF(AND(ABS(Jul!E57)&gt;קריטריונים!$B$1,Jul!B57&gt;קריטריונים!$B$3),Jul!E57,"")</f>
        <v/>
      </c>
      <c r="Y56" s="113" t="str">
        <f>IF(AND(ABS(Jun!K57)&gt;קריטריונים!$B$2,Jun!B57&gt;קריטריונים!$B$3),Jun!K57,"")</f>
        <v/>
      </c>
      <c r="Z56" s="113" t="str">
        <f>IF(AND(ABS(Jun!J57)&gt;קריטריונים!$B$2,Jun!B57&gt;קריטריונים!$B$3),Jun!J57,"")</f>
        <v/>
      </c>
      <c r="AA56" s="113" t="str">
        <f>IF(AND(ABS(Jun!F57)&gt;קריטריונים!$B$1,Jun!B57&gt;קריטריונים!$B$3),Jun!F57,"")</f>
        <v/>
      </c>
      <c r="AB56" s="113" t="str">
        <f>IF(AND(ABS(Jun!E57)&gt;קריטריונים!$B$1,Jun!B57&gt;קריטריונים!$B$3),Jun!E57,"")</f>
        <v/>
      </c>
      <c r="AC56" s="113" t="str">
        <f>IF(AND(ABS(May!K57)&gt;קריטריונים!$B$2,May!B57&gt;קריטריונים!$B$3),May!K57,"")</f>
        <v/>
      </c>
      <c r="AD56" s="113" t="str">
        <f>IF(AND(ABS(May!J57)&gt;קריטריונים!$B$2,May!B57&gt;קריטריונים!$B$3),May!J57,"")</f>
        <v/>
      </c>
      <c r="AE56" s="113" t="str">
        <f>IF(AND(ABS(May!F57)&gt;קריטריונים!$B$1,May!B57&gt;קריטריונים!$B$3),May!F57,"")</f>
        <v/>
      </c>
      <c r="AF56" s="113" t="str">
        <f>IF(AND(ABS(May!E57)&gt;קריטריונים!$B$1,May!B57&gt;קריטריונים!$B$3),May!E57,"")</f>
        <v/>
      </c>
      <c r="AG56" s="113" t="str">
        <f>IF(AND(ABS(Apr!K57)&gt;קריטריונים!$B$2,Apr!B57&gt;קריטריונים!$B$3),Apr!K57,"")</f>
        <v/>
      </c>
      <c r="AH56" s="113" t="str">
        <f>IF(AND(ABS(Apr!J57)&gt;קריטריונים!$B$2,Apr!B57&gt;קריטריונים!$B$3),Apr!J57,"")</f>
        <v/>
      </c>
      <c r="AI56" s="113" t="str">
        <f>IF(AND(ABS(Apr!F57)&gt;קריטריונים!$B$1,Apr!B57&gt;קריטריונים!$B$3),Apr!F57,"")</f>
        <v/>
      </c>
      <c r="AJ56" s="113" t="str">
        <f>IF(AND(ABS(Apr!E57)&gt;קריטריונים!$B$1,Apr!B57&gt;קריטריונים!$B$3),Apr!E57,"")</f>
        <v/>
      </c>
      <c r="AK56" s="113" t="str">
        <f>IF(AND(ABS(Mar!K57)&gt;קריטריונים!$B$2,Mar!B57&gt;קריטריונים!$B$3),Mar!K57,"")</f>
        <v/>
      </c>
      <c r="AL56" s="113" t="str">
        <f>IF(AND(ABS(Mar!J57)&gt;קריטריונים!$B$2,Mar!B57&gt;קריטריונים!$B$3),Mar!J57,"")</f>
        <v/>
      </c>
      <c r="AM56" s="113" t="str">
        <f>IF(AND(ABS(Mar!F57)&gt;קריטריונים!$B$1,Mar!B57&gt;קריטריונים!$B$3),Mar!F57,"")</f>
        <v/>
      </c>
      <c r="AN56" s="113" t="str">
        <f>IF(AND(ABS(Mar!E57)&gt;קריטריונים!$B$1,Mar!B57&gt;קריטריונים!$B$3),Mar!E57,"")</f>
        <v/>
      </c>
      <c r="AO56" s="113" t="str">
        <f>IF(AND(ABS(Feb!K57)&gt;קריטריונים!$B$2,Feb!B57&gt;קריטריונים!$B$3),Feb!K57,"")</f>
        <v/>
      </c>
      <c r="AP56" s="113" t="str">
        <f>IF(AND(ABS(Feb!J57)&gt;קריטריונים!$B$2,Feb!B57&gt;קריטריונים!$B$3),Feb!J57,"")</f>
        <v/>
      </c>
      <c r="AQ56" s="113" t="str">
        <f>IF(AND(ABS(Feb!F57)&gt;קריטריונים!$B$1,Feb!B57&gt;קריטריונים!$B$3),Feb!F57,"")</f>
        <v/>
      </c>
      <c r="AR56" s="113" t="str">
        <f>IF(AND(ABS(Feb!E57)&gt;קריטריונים!$B$1,Feb!B57&gt;קריטריונים!$B$3),Feb!E57,"")</f>
        <v/>
      </c>
      <c r="AS56" s="113" t="str">
        <f>IF(AND(ABS(Jan!F57)&gt;קריטריונים!$B$1,Jan!B57&gt;קריטריונים!$B$3),Jan!F57,"")</f>
        <v/>
      </c>
      <c r="AT56" s="103" t="str">
        <f>IF(AND(ABS(Jan!E57)&gt;קריטריונים!$B$1,Jan!B57&gt;קריטריונים!$B$3),Jan!E57,"")</f>
        <v/>
      </c>
      <c r="AU56" s="118" t="s">
        <v>47</v>
      </c>
      <c r="AV56" s="4"/>
    </row>
    <row r="57" spans="1:48">
      <c r="A57" s="112" t="str">
        <f>IF(AND(ABS(Dec!K58)&gt;קריטריונים!$B$2,Dec!B58&gt;קריטריונים!$B$3),Dec!K58,"")</f>
        <v/>
      </c>
      <c r="B57" s="113" t="str">
        <f>IF(AND(ABS(Dec!J58)&gt;קריטריונים!$B$2,Dec!B58&gt;קריטריונים!$B$3),Dec!J58,"")</f>
        <v/>
      </c>
      <c r="C57" s="113" t="str">
        <f>IF(AND(ABS(Dec!F58)&gt;קריטריונים!$B$1,Dec!B58&gt;קריטריונים!$B$3),Dec!F58,"")</f>
        <v/>
      </c>
      <c r="D57" s="113" t="str">
        <f>IF(AND(ABS(Dec!E58)&gt;קריטריונים!$B$1,Dec!B58&gt;קריטריונים!$B$3),Dec!E58,"")</f>
        <v/>
      </c>
      <c r="E57" s="113" t="str">
        <f>IF(AND(ABS(Nov!K58)&gt;קריטריונים!$B$2,Nov!B58&gt;קריטריונים!$B$3),Nov!K58,"")</f>
        <v/>
      </c>
      <c r="F57" s="113" t="str">
        <f>IF(AND(ABS(Nov!J58)&gt;קריטריונים!$B$2,Nov!B58&gt;קריטריונים!$B$3),Nov!J58,"")</f>
        <v/>
      </c>
      <c r="G57" s="113" t="str">
        <f>IF(AND(ABS(Nov!F58)&gt;קריטריונים!$B$1,Nov!B58&gt;קריטריונים!$B$3),Nov!F58,"")</f>
        <v/>
      </c>
      <c r="H57" s="113" t="str">
        <f>IF(AND(ABS(Nov!E58)&gt;קריטריונים!$B$1,Nov!B58&gt;קריטריונים!$B$3),Nov!E58,"")</f>
        <v/>
      </c>
      <c r="I57" s="113" t="str">
        <f>IF(AND(ABS(Oct!K58)&gt;קריטריונים!$B$2,Oct!B58&gt;קריטריונים!$B$3),Oct!K58,"")</f>
        <v/>
      </c>
      <c r="J57" s="113" t="str">
        <f>IF(AND(ABS(Oct!J58)&gt;קריטריונים!$B$2,Oct!B58&gt;קריטריונים!$B$3),Oct!J58,"")</f>
        <v/>
      </c>
      <c r="K57" s="113" t="str">
        <f>IF(AND(ABS(Oct!F58)&gt;קריטריונים!$B$1,Oct!B58&gt;קריטריונים!$B$3),Oct!F58,"")</f>
        <v/>
      </c>
      <c r="L57" s="113" t="str">
        <f>IF(AND(ABS(Oct!E58)&gt;קריטריונים!$B$1,Oct!B58&gt;קריטריונים!$B$3),Oct!E58,"")</f>
        <v/>
      </c>
      <c r="M57" s="113" t="str">
        <f>IF(AND(ABS(Sep!K58)&gt;קריטריונים!$B$2,Sep!B58&gt;קריטריונים!$B$3),Sep!K58,"")</f>
        <v/>
      </c>
      <c r="N57" s="113" t="str">
        <f>IF(AND(ABS(Sep!J58)&gt;קריטריונים!$B$2,Sep!B58&gt;קריטריונים!$B$3),Sep!J58,"")</f>
        <v/>
      </c>
      <c r="O57" s="113" t="str">
        <f>IF(AND(ABS(Sep!F58)&gt;קריטריונים!$B$1,Sep!B58&gt;קריטריונים!$B$3),Sep!F58,"")</f>
        <v/>
      </c>
      <c r="P57" s="113" t="str">
        <f>IF(AND(ABS(Sep!E58)&gt;קריטריונים!$B$1,Sep!B58&gt;קריטריונים!$B$3),Sep!E58,"")</f>
        <v/>
      </c>
      <c r="Q57" s="113" t="str">
        <f>IF(AND(ABS(Aug!K58)&gt;קריטריונים!$B$2,Aug!B58&gt;קריטריונים!$B$3),Aug!K58,"")</f>
        <v/>
      </c>
      <c r="R57" s="113" t="str">
        <f>IF(AND(ABS(Aug!J58)&gt;קריטריונים!$B$2,Aug!B58&gt;קריטריונים!$B$3),Aug!J58,"")</f>
        <v/>
      </c>
      <c r="S57" s="113" t="str">
        <f>IF(AND(ABS(Aug!F58)&gt;קריטריונים!$B$1,Aug!B58&gt;קריטריונים!$B$3),Aug!F58,"")</f>
        <v/>
      </c>
      <c r="T57" s="113" t="str">
        <f>IF(AND(ABS(Aug!E58)&gt;קריטריונים!$B$1,Aug!B58&gt;קריטריונים!$B$3),Aug!E58,"")</f>
        <v/>
      </c>
      <c r="U57" s="113" t="str">
        <f>IF(AND(ABS(Jul!K58)&gt;קריטריונים!$B$2,Jul!B58&gt;קריטריונים!$B$3),Jul!K58,"")</f>
        <v/>
      </c>
      <c r="V57" s="113" t="str">
        <f>IF(AND(ABS(Jul!J58)&gt;קריטריונים!$B$2,Jul!B58&gt;קריטריונים!$B$3),Jul!J58,"")</f>
        <v/>
      </c>
      <c r="W57" s="113" t="str">
        <f>IF(AND(ABS(Jul!F58)&gt;קריטריונים!$B$1,Jul!B58&gt;קריטריונים!$B$3),Jul!F58,"")</f>
        <v/>
      </c>
      <c r="X57" s="113" t="str">
        <f>IF(AND(ABS(Jul!E58)&gt;קריטריונים!$B$1,Jul!B58&gt;קריטריונים!$B$3),Jul!E58,"")</f>
        <v/>
      </c>
      <c r="Y57" s="113" t="str">
        <f>IF(AND(ABS(Jun!K58)&gt;קריטריונים!$B$2,Jun!B58&gt;קריטריונים!$B$3),Jun!K58,"")</f>
        <v/>
      </c>
      <c r="Z57" s="113" t="str">
        <f>IF(AND(ABS(Jun!J58)&gt;קריטריונים!$B$2,Jun!B58&gt;קריטריונים!$B$3),Jun!J58,"")</f>
        <v/>
      </c>
      <c r="AA57" s="113" t="str">
        <f>IF(AND(ABS(Jun!F58)&gt;קריטריונים!$B$1,Jun!B58&gt;קריטריונים!$B$3),Jun!F58,"")</f>
        <v/>
      </c>
      <c r="AB57" s="113" t="str">
        <f>IF(AND(ABS(Jun!E58)&gt;קריטריונים!$B$1,Jun!B58&gt;קריטריונים!$B$3),Jun!E58,"")</f>
        <v/>
      </c>
      <c r="AC57" s="113" t="str">
        <f>IF(AND(ABS(May!K58)&gt;קריטריונים!$B$2,May!B58&gt;קריטריונים!$B$3),May!K58,"")</f>
        <v/>
      </c>
      <c r="AD57" s="113" t="str">
        <f>IF(AND(ABS(May!J58)&gt;קריטריונים!$B$2,May!B58&gt;קריטריונים!$B$3),May!J58,"")</f>
        <v/>
      </c>
      <c r="AE57" s="113" t="str">
        <f>IF(AND(ABS(May!F58)&gt;קריטריונים!$B$1,May!B58&gt;קריטריונים!$B$3),May!F58,"")</f>
        <v/>
      </c>
      <c r="AF57" s="113" t="str">
        <f>IF(AND(ABS(May!E58)&gt;קריטריונים!$B$1,May!B58&gt;קריטריונים!$B$3),May!E58,"")</f>
        <v/>
      </c>
      <c r="AG57" s="113" t="str">
        <f>IF(AND(ABS(Apr!K58)&gt;קריטריונים!$B$2,Apr!B58&gt;קריטריונים!$B$3),Apr!K58,"")</f>
        <v/>
      </c>
      <c r="AH57" s="113" t="str">
        <f>IF(AND(ABS(Apr!J58)&gt;קריטריונים!$B$2,Apr!B58&gt;קריטריונים!$B$3),Apr!J58,"")</f>
        <v/>
      </c>
      <c r="AI57" s="113" t="str">
        <f>IF(AND(ABS(Apr!F58)&gt;קריטריונים!$B$1,Apr!B58&gt;קריטריונים!$B$3),Apr!F58,"")</f>
        <v/>
      </c>
      <c r="AJ57" s="113" t="str">
        <f>IF(AND(ABS(Apr!E58)&gt;קריטריונים!$B$1,Apr!B58&gt;קריטריונים!$B$3),Apr!E58,"")</f>
        <v/>
      </c>
      <c r="AK57" s="113" t="str">
        <f>IF(AND(ABS(Mar!K58)&gt;קריטריונים!$B$2,Mar!B58&gt;קריטריונים!$B$3),Mar!K58,"")</f>
        <v/>
      </c>
      <c r="AL57" s="113" t="str">
        <f>IF(AND(ABS(Mar!J58)&gt;קריטריונים!$B$2,Mar!B58&gt;קריטריונים!$B$3),Mar!J58,"")</f>
        <v/>
      </c>
      <c r="AM57" s="113" t="str">
        <f>IF(AND(ABS(Mar!F58)&gt;קריטריונים!$B$1,Mar!B58&gt;קריטריונים!$B$3),Mar!F58,"")</f>
        <v/>
      </c>
      <c r="AN57" s="113" t="str">
        <f>IF(AND(ABS(Mar!E58)&gt;קריטריונים!$B$1,Mar!B58&gt;קריטריונים!$B$3),Mar!E58,"")</f>
        <v/>
      </c>
      <c r="AO57" s="113" t="str">
        <f>IF(AND(ABS(Feb!K58)&gt;קריטריונים!$B$2,Feb!B58&gt;קריטריונים!$B$3),Feb!K58,"")</f>
        <v/>
      </c>
      <c r="AP57" s="113" t="str">
        <f>IF(AND(ABS(Feb!J58)&gt;קריטריונים!$B$2,Feb!B58&gt;קריטריונים!$B$3),Feb!J58,"")</f>
        <v/>
      </c>
      <c r="AQ57" s="113" t="str">
        <f>IF(AND(ABS(Feb!F58)&gt;קריטריונים!$B$1,Feb!B58&gt;קריטריונים!$B$3),Feb!F58,"")</f>
        <v/>
      </c>
      <c r="AR57" s="113" t="str">
        <f>IF(AND(ABS(Feb!E58)&gt;קריטריונים!$B$1,Feb!B58&gt;קריטריונים!$B$3),Feb!E58,"")</f>
        <v/>
      </c>
      <c r="AS57" s="113" t="str">
        <f>IF(AND(ABS(Jan!F58)&gt;קריטריונים!$B$1,Jan!B58&gt;קריטריונים!$B$3),Jan!F58,"")</f>
        <v/>
      </c>
      <c r="AT57" s="103" t="str">
        <f>IF(AND(ABS(Jan!E58)&gt;קריטריונים!$B$1,Jan!B58&gt;קריטריונים!$B$3),Jan!E58,"")</f>
        <v/>
      </c>
      <c r="AU57" s="118" t="s">
        <v>48</v>
      </c>
      <c r="AV57" s="4"/>
    </row>
    <row r="58" spans="1:48">
      <c r="A58" s="112" t="str">
        <f>IF(AND(ABS(Dec!K59)&gt;קריטריונים!$B$2,Dec!B59&gt;קריטריונים!$B$3),Dec!K59,"")</f>
        <v/>
      </c>
      <c r="B58" s="113" t="str">
        <f>IF(AND(ABS(Dec!J59)&gt;קריטריונים!$B$2,Dec!B59&gt;קריטריונים!$B$3),Dec!J59,"")</f>
        <v/>
      </c>
      <c r="C58" s="113" t="str">
        <f>IF(AND(ABS(Dec!F59)&gt;קריטריונים!$B$1,Dec!B59&gt;קריטריונים!$B$3),Dec!F59,"")</f>
        <v/>
      </c>
      <c r="D58" s="113" t="str">
        <f>IF(AND(ABS(Dec!E59)&gt;קריטריונים!$B$1,Dec!B59&gt;קריטריונים!$B$3),Dec!E59,"")</f>
        <v/>
      </c>
      <c r="E58" s="113" t="str">
        <f>IF(AND(ABS(Nov!K59)&gt;קריטריונים!$B$2,Nov!B59&gt;קריטריונים!$B$3),Nov!K59,"")</f>
        <v/>
      </c>
      <c r="F58" s="113" t="str">
        <f>IF(AND(ABS(Nov!J59)&gt;קריטריונים!$B$2,Nov!B59&gt;קריטריונים!$B$3),Nov!J59,"")</f>
        <v/>
      </c>
      <c r="G58" s="113" t="str">
        <f>IF(AND(ABS(Nov!F59)&gt;קריטריונים!$B$1,Nov!B59&gt;קריטריונים!$B$3),Nov!F59,"")</f>
        <v/>
      </c>
      <c r="H58" s="113" t="str">
        <f>IF(AND(ABS(Nov!E59)&gt;קריטריונים!$B$1,Nov!B59&gt;קריטריונים!$B$3),Nov!E59,"")</f>
        <v/>
      </c>
      <c r="I58" s="113" t="str">
        <f>IF(AND(ABS(Oct!K59)&gt;קריטריונים!$B$2,Oct!B59&gt;קריטריונים!$B$3),Oct!K59,"")</f>
        <v/>
      </c>
      <c r="J58" s="113" t="str">
        <f>IF(AND(ABS(Oct!J59)&gt;קריטריונים!$B$2,Oct!B59&gt;קריטריונים!$B$3),Oct!J59,"")</f>
        <v/>
      </c>
      <c r="K58" s="113" t="str">
        <f>IF(AND(ABS(Oct!F59)&gt;קריטריונים!$B$1,Oct!B59&gt;קריטריונים!$B$3),Oct!F59,"")</f>
        <v/>
      </c>
      <c r="L58" s="113" t="str">
        <f>IF(AND(ABS(Oct!E59)&gt;קריטריונים!$B$1,Oct!B59&gt;קריטריונים!$B$3),Oct!E59,"")</f>
        <v/>
      </c>
      <c r="M58" s="113" t="str">
        <f>IF(AND(ABS(Sep!K59)&gt;קריטריונים!$B$2,Sep!B59&gt;קריטריונים!$B$3),Sep!K59,"")</f>
        <v/>
      </c>
      <c r="N58" s="113" t="str">
        <f>IF(AND(ABS(Sep!J59)&gt;קריטריונים!$B$2,Sep!B59&gt;קריטריונים!$B$3),Sep!J59,"")</f>
        <v/>
      </c>
      <c r="O58" s="113" t="str">
        <f>IF(AND(ABS(Sep!F59)&gt;קריטריונים!$B$1,Sep!B59&gt;קריטריונים!$B$3),Sep!F59,"")</f>
        <v/>
      </c>
      <c r="P58" s="113" t="str">
        <f>IF(AND(ABS(Sep!E59)&gt;קריטריונים!$B$1,Sep!B59&gt;קריטריונים!$B$3),Sep!E59,"")</f>
        <v/>
      </c>
      <c r="Q58" s="113" t="str">
        <f>IF(AND(ABS(Aug!K59)&gt;קריטריונים!$B$2,Aug!B59&gt;קריטריונים!$B$3),Aug!K59,"")</f>
        <v/>
      </c>
      <c r="R58" s="113" t="str">
        <f>IF(AND(ABS(Aug!J59)&gt;קריטריונים!$B$2,Aug!B59&gt;קריטריונים!$B$3),Aug!J59,"")</f>
        <v/>
      </c>
      <c r="S58" s="113" t="str">
        <f>IF(AND(ABS(Aug!F59)&gt;קריטריונים!$B$1,Aug!B59&gt;קריטריונים!$B$3),Aug!F59,"")</f>
        <v/>
      </c>
      <c r="T58" s="113" t="str">
        <f>IF(AND(ABS(Aug!E59)&gt;קריטריונים!$B$1,Aug!B59&gt;קריטריונים!$B$3),Aug!E59,"")</f>
        <v/>
      </c>
      <c r="U58" s="113" t="str">
        <f>IF(AND(ABS(Jul!K59)&gt;קריטריונים!$B$2,Jul!B59&gt;קריטריונים!$B$3),Jul!K59,"")</f>
        <v/>
      </c>
      <c r="V58" s="113" t="str">
        <f>IF(AND(ABS(Jul!J59)&gt;קריטריונים!$B$2,Jul!B59&gt;קריטריונים!$B$3),Jul!J59,"")</f>
        <v/>
      </c>
      <c r="W58" s="113" t="str">
        <f>IF(AND(ABS(Jul!F59)&gt;קריטריונים!$B$1,Jul!B59&gt;קריטריונים!$B$3),Jul!F59,"")</f>
        <v/>
      </c>
      <c r="X58" s="113" t="str">
        <f>IF(AND(ABS(Jul!E59)&gt;קריטריונים!$B$1,Jul!B59&gt;קריטריונים!$B$3),Jul!E59,"")</f>
        <v/>
      </c>
      <c r="Y58" s="113" t="str">
        <f>IF(AND(ABS(Jun!K59)&gt;קריטריונים!$B$2,Jun!B59&gt;קריטריונים!$B$3),Jun!K59,"")</f>
        <v/>
      </c>
      <c r="Z58" s="113" t="str">
        <f>IF(AND(ABS(Jun!J59)&gt;קריטריונים!$B$2,Jun!B59&gt;קריטריונים!$B$3),Jun!J59,"")</f>
        <v/>
      </c>
      <c r="AA58" s="113" t="str">
        <f>IF(AND(ABS(Jun!F59)&gt;קריטריונים!$B$1,Jun!B59&gt;קריטריונים!$B$3),Jun!F59,"")</f>
        <v/>
      </c>
      <c r="AB58" s="113" t="str">
        <f>IF(AND(ABS(Jun!E59)&gt;קריטריונים!$B$1,Jun!B59&gt;קריטריונים!$B$3),Jun!E59,"")</f>
        <v/>
      </c>
      <c r="AC58" s="113" t="str">
        <f>IF(AND(ABS(May!K59)&gt;קריטריונים!$B$2,May!B59&gt;קריטריונים!$B$3),May!K59,"")</f>
        <v/>
      </c>
      <c r="AD58" s="113" t="str">
        <f>IF(AND(ABS(May!J59)&gt;קריטריונים!$B$2,May!B59&gt;קריטריונים!$B$3),May!J59,"")</f>
        <v/>
      </c>
      <c r="AE58" s="113" t="str">
        <f>IF(AND(ABS(May!F59)&gt;קריטריונים!$B$1,May!B59&gt;קריטריונים!$B$3),May!F59,"")</f>
        <v/>
      </c>
      <c r="AF58" s="113" t="str">
        <f>IF(AND(ABS(May!E59)&gt;קריטריונים!$B$1,May!B59&gt;קריטריונים!$B$3),May!E59,"")</f>
        <v/>
      </c>
      <c r="AG58" s="113" t="str">
        <f>IF(AND(ABS(Apr!K59)&gt;קריטריונים!$B$2,Apr!B59&gt;קריטריונים!$B$3),Apr!K59,"")</f>
        <v/>
      </c>
      <c r="AH58" s="113" t="str">
        <f>IF(AND(ABS(Apr!J59)&gt;קריטריונים!$B$2,Apr!B59&gt;קריטריונים!$B$3),Apr!J59,"")</f>
        <v/>
      </c>
      <c r="AI58" s="113" t="str">
        <f>IF(AND(ABS(Apr!F59)&gt;קריטריונים!$B$1,Apr!B59&gt;קריטריונים!$B$3),Apr!F59,"")</f>
        <v/>
      </c>
      <c r="AJ58" s="113" t="str">
        <f>IF(AND(ABS(Apr!E59)&gt;קריטריונים!$B$1,Apr!B59&gt;קריטריונים!$B$3),Apr!E59,"")</f>
        <v/>
      </c>
      <c r="AK58" s="113" t="str">
        <f>IF(AND(ABS(Mar!K59)&gt;קריטריונים!$B$2,Mar!B59&gt;קריטריונים!$B$3),Mar!K59,"")</f>
        <v/>
      </c>
      <c r="AL58" s="113" t="str">
        <f>IF(AND(ABS(Mar!J59)&gt;קריטריונים!$B$2,Mar!B59&gt;קריטריונים!$B$3),Mar!J59,"")</f>
        <v/>
      </c>
      <c r="AM58" s="113" t="str">
        <f>IF(AND(ABS(Mar!F59)&gt;קריטריונים!$B$1,Mar!B59&gt;קריטריונים!$B$3),Mar!F59,"")</f>
        <v/>
      </c>
      <c r="AN58" s="113" t="str">
        <f>IF(AND(ABS(Mar!E59)&gt;קריטריונים!$B$1,Mar!B59&gt;קריטריונים!$B$3),Mar!E59,"")</f>
        <v/>
      </c>
      <c r="AO58" s="113" t="str">
        <f>IF(AND(ABS(Feb!K59)&gt;קריטריונים!$B$2,Feb!B59&gt;קריטריונים!$B$3),Feb!K59,"")</f>
        <v/>
      </c>
      <c r="AP58" s="113" t="str">
        <f>IF(AND(ABS(Feb!J59)&gt;קריטריונים!$B$2,Feb!B59&gt;קריטריונים!$B$3),Feb!J59,"")</f>
        <v/>
      </c>
      <c r="AQ58" s="113" t="str">
        <f>IF(AND(ABS(Feb!F59)&gt;קריטריונים!$B$1,Feb!B59&gt;קריטריונים!$B$3),Feb!F59,"")</f>
        <v/>
      </c>
      <c r="AR58" s="113" t="str">
        <f>IF(AND(ABS(Feb!E59)&gt;קריטריונים!$B$1,Feb!B59&gt;קריטריונים!$B$3),Feb!E59,"")</f>
        <v/>
      </c>
      <c r="AS58" s="113" t="str">
        <f>IF(AND(ABS(Jan!F59)&gt;קריטריונים!$B$1,Jan!B59&gt;קריטריונים!$B$3),Jan!F59,"")</f>
        <v/>
      </c>
      <c r="AT58" s="103" t="str">
        <f>IF(AND(ABS(Jan!E59)&gt;קריטריונים!$B$1,Jan!B59&gt;קריטריונים!$B$3),Jan!E59,"")</f>
        <v/>
      </c>
      <c r="AU58" s="118" t="s">
        <v>87</v>
      </c>
      <c r="AV58" s="4"/>
    </row>
    <row r="59" spans="1:48">
      <c r="A59" s="112" t="str">
        <f>IF(AND(ABS(Dec!K60)&gt;קריטריונים!$B$2,Dec!B60&gt;קריטריונים!$B$3),Dec!K60,"")</f>
        <v/>
      </c>
      <c r="B59" s="113" t="str">
        <f>IF(AND(ABS(Dec!J60)&gt;קריטריונים!$B$2,Dec!B60&gt;קריטריונים!$B$3),Dec!J60,"")</f>
        <v/>
      </c>
      <c r="C59" s="113" t="str">
        <f>IF(AND(ABS(Dec!F60)&gt;קריטריונים!$B$1,Dec!B60&gt;קריטריונים!$B$3),Dec!F60,"")</f>
        <v/>
      </c>
      <c r="D59" s="113" t="str">
        <f>IF(AND(ABS(Dec!E60)&gt;קריטריונים!$B$1,Dec!B60&gt;קריטריונים!$B$3),Dec!E60,"")</f>
        <v/>
      </c>
      <c r="E59" s="113" t="str">
        <f>IF(AND(ABS(Nov!K60)&gt;קריטריונים!$B$2,Nov!B60&gt;קריטריונים!$B$3),Nov!K60,"")</f>
        <v/>
      </c>
      <c r="F59" s="113" t="str">
        <f>IF(AND(ABS(Nov!J60)&gt;קריטריונים!$B$2,Nov!B60&gt;קריטריונים!$B$3),Nov!J60,"")</f>
        <v/>
      </c>
      <c r="G59" s="113" t="str">
        <f>IF(AND(ABS(Nov!F60)&gt;קריטריונים!$B$1,Nov!B60&gt;קריטריונים!$B$3),Nov!F60,"")</f>
        <v/>
      </c>
      <c r="H59" s="113" t="str">
        <f>IF(AND(ABS(Nov!E60)&gt;קריטריונים!$B$1,Nov!B60&gt;קריטריונים!$B$3),Nov!E60,"")</f>
        <v/>
      </c>
      <c r="I59" s="113" t="str">
        <f>IF(AND(ABS(Oct!K60)&gt;קריטריונים!$B$2,Oct!B60&gt;קריטריונים!$B$3),Oct!K60,"")</f>
        <v/>
      </c>
      <c r="J59" s="113" t="str">
        <f>IF(AND(ABS(Oct!J60)&gt;קריטריונים!$B$2,Oct!B60&gt;קריטריונים!$B$3),Oct!J60,"")</f>
        <v/>
      </c>
      <c r="K59" s="113" t="str">
        <f>IF(AND(ABS(Oct!F60)&gt;קריטריונים!$B$1,Oct!B60&gt;קריטריונים!$B$3),Oct!F60,"")</f>
        <v/>
      </c>
      <c r="L59" s="113" t="str">
        <f>IF(AND(ABS(Oct!E60)&gt;קריטריונים!$B$1,Oct!B60&gt;קריטריונים!$B$3),Oct!E60,"")</f>
        <v/>
      </c>
      <c r="M59" s="113" t="str">
        <f>IF(AND(ABS(Sep!K60)&gt;קריטריונים!$B$2,Sep!B60&gt;קריטריונים!$B$3),Sep!K60,"")</f>
        <v/>
      </c>
      <c r="N59" s="113" t="str">
        <f>IF(AND(ABS(Sep!J60)&gt;קריטריונים!$B$2,Sep!B60&gt;קריטריונים!$B$3),Sep!J60,"")</f>
        <v/>
      </c>
      <c r="O59" s="113" t="str">
        <f>IF(AND(ABS(Sep!F60)&gt;קריטריונים!$B$1,Sep!B60&gt;קריטריונים!$B$3),Sep!F60,"")</f>
        <v/>
      </c>
      <c r="P59" s="113" t="str">
        <f>IF(AND(ABS(Sep!E60)&gt;קריטריונים!$B$1,Sep!B60&gt;קריטריונים!$B$3),Sep!E60,"")</f>
        <v/>
      </c>
      <c r="Q59" s="113" t="str">
        <f>IF(AND(ABS(Aug!K60)&gt;קריטריונים!$B$2,Aug!B60&gt;קריטריונים!$B$3),Aug!K60,"")</f>
        <v/>
      </c>
      <c r="R59" s="113" t="str">
        <f>IF(AND(ABS(Aug!J60)&gt;קריטריונים!$B$2,Aug!B60&gt;קריטריונים!$B$3),Aug!J60,"")</f>
        <v/>
      </c>
      <c r="S59" s="113" t="str">
        <f>IF(AND(ABS(Aug!F60)&gt;קריטריונים!$B$1,Aug!B60&gt;קריטריונים!$B$3),Aug!F60,"")</f>
        <v/>
      </c>
      <c r="T59" s="113" t="str">
        <f>IF(AND(ABS(Aug!E60)&gt;קריטריונים!$B$1,Aug!B60&gt;קריטריונים!$B$3),Aug!E60,"")</f>
        <v/>
      </c>
      <c r="U59" s="113" t="str">
        <f>IF(AND(ABS(Jul!K60)&gt;קריטריונים!$B$2,Jul!B60&gt;קריטריונים!$B$3),Jul!K60,"")</f>
        <v/>
      </c>
      <c r="V59" s="113" t="str">
        <f>IF(AND(ABS(Jul!J60)&gt;קריטריונים!$B$2,Jul!B60&gt;קריטריונים!$B$3),Jul!J60,"")</f>
        <v/>
      </c>
      <c r="W59" s="113" t="str">
        <f>IF(AND(ABS(Jul!F60)&gt;קריטריונים!$B$1,Jul!B60&gt;קריטריונים!$B$3),Jul!F60,"")</f>
        <v/>
      </c>
      <c r="X59" s="113" t="str">
        <f>IF(AND(ABS(Jul!E60)&gt;קריטריונים!$B$1,Jul!B60&gt;קריטריונים!$B$3),Jul!E60,"")</f>
        <v/>
      </c>
      <c r="Y59" s="113" t="str">
        <f>IF(AND(ABS(Jun!K60)&gt;קריטריונים!$B$2,Jun!B60&gt;קריטריונים!$B$3),Jun!K60,"")</f>
        <v/>
      </c>
      <c r="Z59" s="113" t="str">
        <f>IF(AND(ABS(Jun!J60)&gt;קריטריונים!$B$2,Jun!B60&gt;קריטריונים!$B$3),Jun!J60,"")</f>
        <v/>
      </c>
      <c r="AA59" s="113" t="str">
        <f>IF(AND(ABS(Jun!F60)&gt;קריטריונים!$B$1,Jun!B60&gt;קריטריונים!$B$3),Jun!F60,"")</f>
        <v/>
      </c>
      <c r="AB59" s="113" t="str">
        <f>IF(AND(ABS(Jun!E60)&gt;קריטריונים!$B$1,Jun!B60&gt;קריטריונים!$B$3),Jun!E60,"")</f>
        <v/>
      </c>
      <c r="AC59" s="113" t="str">
        <f>IF(AND(ABS(May!K60)&gt;קריטריונים!$B$2,May!B60&gt;קריטריונים!$B$3),May!K60,"")</f>
        <v/>
      </c>
      <c r="AD59" s="113" t="str">
        <f>IF(AND(ABS(May!J60)&gt;קריטריונים!$B$2,May!B60&gt;קריטריונים!$B$3),May!J60,"")</f>
        <v/>
      </c>
      <c r="AE59" s="113" t="str">
        <f>IF(AND(ABS(May!F60)&gt;קריטריונים!$B$1,May!B60&gt;קריטריונים!$B$3),May!F60,"")</f>
        <v/>
      </c>
      <c r="AF59" s="113" t="str">
        <f>IF(AND(ABS(May!E60)&gt;קריטריונים!$B$1,May!B60&gt;קריטריונים!$B$3),May!E60,"")</f>
        <v/>
      </c>
      <c r="AG59" s="113" t="str">
        <f>IF(AND(ABS(Apr!K60)&gt;קריטריונים!$B$2,Apr!B60&gt;קריטריונים!$B$3),Apr!K60,"")</f>
        <v/>
      </c>
      <c r="AH59" s="113" t="str">
        <f>IF(AND(ABS(Apr!J60)&gt;קריטריונים!$B$2,Apr!B60&gt;קריטריונים!$B$3),Apr!J60,"")</f>
        <v/>
      </c>
      <c r="AI59" s="113" t="str">
        <f>IF(AND(ABS(Apr!F60)&gt;קריטריונים!$B$1,Apr!B60&gt;קריטריונים!$B$3),Apr!F60,"")</f>
        <v/>
      </c>
      <c r="AJ59" s="113" t="str">
        <f>IF(AND(ABS(Apr!E60)&gt;קריטריונים!$B$1,Apr!B60&gt;קריטריונים!$B$3),Apr!E60,"")</f>
        <v/>
      </c>
      <c r="AK59" s="113" t="str">
        <f>IF(AND(ABS(Mar!K60)&gt;קריטריונים!$B$2,Mar!B60&gt;קריטריונים!$B$3),Mar!K60,"")</f>
        <v/>
      </c>
      <c r="AL59" s="113" t="str">
        <f>IF(AND(ABS(Mar!J60)&gt;קריטריונים!$B$2,Mar!B60&gt;קריטריונים!$B$3),Mar!J60,"")</f>
        <v/>
      </c>
      <c r="AM59" s="113" t="str">
        <f>IF(AND(ABS(Mar!F60)&gt;קריטריונים!$B$1,Mar!B60&gt;קריטריונים!$B$3),Mar!F60,"")</f>
        <v/>
      </c>
      <c r="AN59" s="113" t="str">
        <f>IF(AND(ABS(Mar!E60)&gt;קריטריונים!$B$1,Mar!B60&gt;קריטריונים!$B$3),Mar!E60,"")</f>
        <v/>
      </c>
      <c r="AO59" s="113" t="str">
        <f>IF(AND(ABS(Feb!K60)&gt;קריטריונים!$B$2,Feb!B60&gt;קריטריונים!$B$3),Feb!K60,"")</f>
        <v/>
      </c>
      <c r="AP59" s="113" t="str">
        <f>IF(AND(ABS(Feb!J60)&gt;קריטריונים!$B$2,Feb!B60&gt;קריטריונים!$B$3),Feb!J60,"")</f>
        <v/>
      </c>
      <c r="AQ59" s="113" t="str">
        <f>IF(AND(ABS(Feb!F60)&gt;קריטריונים!$B$1,Feb!B60&gt;קריטריונים!$B$3),Feb!F60,"")</f>
        <v/>
      </c>
      <c r="AR59" s="113" t="str">
        <f>IF(AND(ABS(Feb!E60)&gt;קריטריונים!$B$1,Feb!B60&gt;קריטריונים!$B$3),Feb!E60,"")</f>
        <v/>
      </c>
      <c r="AS59" s="113" t="str">
        <f>IF(AND(ABS(Jan!F60)&gt;קריטריונים!$B$1,Jan!B60&gt;קריטריונים!$B$3),Jan!F60,"")</f>
        <v/>
      </c>
      <c r="AT59" s="103" t="str">
        <f>IF(AND(ABS(Jan!E60)&gt;קריטריונים!$B$1,Jan!B60&gt;קריטריונים!$B$3),Jan!E60,"")</f>
        <v/>
      </c>
      <c r="AU59" s="118" t="s">
        <v>49</v>
      </c>
      <c r="AV59" s="4"/>
    </row>
    <row r="60" spans="1:48">
      <c r="A60" s="112" t="str">
        <f>IF(AND(ABS(Dec!K61)&gt;קריטריונים!$B$2,Dec!B61&gt;קריטריונים!$B$3),Dec!K61,"")</f>
        <v/>
      </c>
      <c r="B60" s="113" t="str">
        <f>IF(AND(ABS(Dec!J61)&gt;קריטריונים!$B$2,Dec!B61&gt;קריטריונים!$B$3),Dec!J61,"")</f>
        <v/>
      </c>
      <c r="C60" s="113" t="str">
        <f>IF(AND(ABS(Dec!F61)&gt;קריטריונים!$B$1,Dec!B61&gt;קריטריונים!$B$3),Dec!F61,"")</f>
        <v/>
      </c>
      <c r="D60" s="113" t="str">
        <f>IF(AND(ABS(Dec!E61)&gt;קריטריונים!$B$1,Dec!B61&gt;קריטריונים!$B$3),Dec!E61,"")</f>
        <v/>
      </c>
      <c r="E60" s="113" t="str">
        <f>IF(AND(ABS(Nov!K61)&gt;קריטריונים!$B$2,Nov!B61&gt;קריטריונים!$B$3),Nov!K61,"")</f>
        <v/>
      </c>
      <c r="F60" s="113" t="str">
        <f>IF(AND(ABS(Nov!J61)&gt;קריטריונים!$B$2,Nov!B61&gt;קריטריונים!$B$3),Nov!J61,"")</f>
        <v/>
      </c>
      <c r="G60" s="113" t="str">
        <f>IF(AND(ABS(Nov!F61)&gt;קריטריונים!$B$1,Nov!B61&gt;קריטריונים!$B$3),Nov!F61,"")</f>
        <v/>
      </c>
      <c r="H60" s="113" t="str">
        <f>IF(AND(ABS(Nov!E61)&gt;קריטריונים!$B$1,Nov!B61&gt;קריטריונים!$B$3),Nov!E61,"")</f>
        <v/>
      </c>
      <c r="I60" s="113" t="str">
        <f>IF(AND(ABS(Oct!K61)&gt;קריטריונים!$B$2,Oct!B61&gt;קריטריונים!$B$3),Oct!K61,"")</f>
        <v/>
      </c>
      <c r="J60" s="113" t="str">
        <f>IF(AND(ABS(Oct!J61)&gt;קריטריונים!$B$2,Oct!B61&gt;קריטריונים!$B$3),Oct!J61,"")</f>
        <v/>
      </c>
      <c r="K60" s="113" t="str">
        <f>IF(AND(ABS(Oct!F61)&gt;קריטריונים!$B$1,Oct!B61&gt;קריטריונים!$B$3),Oct!F61,"")</f>
        <v/>
      </c>
      <c r="L60" s="113" t="str">
        <f>IF(AND(ABS(Oct!E61)&gt;קריטריונים!$B$1,Oct!B61&gt;קריטריונים!$B$3),Oct!E61,"")</f>
        <v/>
      </c>
      <c r="M60" s="113" t="str">
        <f>IF(AND(ABS(Sep!K61)&gt;קריטריונים!$B$2,Sep!B61&gt;קריטריונים!$B$3),Sep!K61,"")</f>
        <v/>
      </c>
      <c r="N60" s="113" t="str">
        <f>IF(AND(ABS(Sep!J61)&gt;קריטריונים!$B$2,Sep!B61&gt;קריטריונים!$B$3),Sep!J61,"")</f>
        <v/>
      </c>
      <c r="O60" s="113" t="str">
        <f>IF(AND(ABS(Sep!F61)&gt;קריטריונים!$B$1,Sep!B61&gt;קריטריונים!$B$3),Sep!F61,"")</f>
        <v/>
      </c>
      <c r="P60" s="113" t="str">
        <f>IF(AND(ABS(Sep!E61)&gt;קריטריונים!$B$1,Sep!B61&gt;קריטריונים!$B$3),Sep!E61,"")</f>
        <v/>
      </c>
      <c r="Q60" s="113" t="str">
        <f>IF(AND(ABS(Aug!K61)&gt;קריטריונים!$B$2,Aug!B61&gt;קריטריונים!$B$3),Aug!K61,"")</f>
        <v/>
      </c>
      <c r="R60" s="113" t="str">
        <f>IF(AND(ABS(Aug!J61)&gt;קריטריונים!$B$2,Aug!B61&gt;קריטריונים!$B$3),Aug!J61,"")</f>
        <v/>
      </c>
      <c r="S60" s="113" t="str">
        <f>IF(AND(ABS(Aug!F61)&gt;קריטריונים!$B$1,Aug!B61&gt;קריטריונים!$B$3),Aug!F61,"")</f>
        <v/>
      </c>
      <c r="T60" s="113" t="str">
        <f>IF(AND(ABS(Aug!E61)&gt;קריטריונים!$B$1,Aug!B61&gt;קריטריונים!$B$3),Aug!E61,"")</f>
        <v/>
      </c>
      <c r="U60" s="113" t="str">
        <f>IF(AND(ABS(Jul!K61)&gt;קריטריונים!$B$2,Jul!B61&gt;קריטריונים!$B$3),Jul!K61,"")</f>
        <v/>
      </c>
      <c r="V60" s="113" t="str">
        <f>IF(AND(ABS(Jul!J61)&gt;קריטריונים!$B$2,Jul!B61&gt;קריטריונים!$B$3),Jul!J61,"")</f>
        <v/>
      </c>
      <c r="W60" s="113" t="str">
        <f>IF(AND(ABS(Jul!F61)&gt;קריטריונים!$B$1,Jul!B61&gt;קריטריונים!$B$3),Jul!F61,"")</f>
        <v/>
      </c>
      <c r="X60" s="113" t="str">
        <f>IF(AND(ABS(Jul!E61)&gt;קריטריונים!$B$1,Jul!B61&gt;קריטריונים!$B$3),Jul!E61,"")</f>
        <v/>
      </c>
      <c r="Y60" s="113" t="str">
        <f>IF(AND(ABS(Jun!K61)&gt;קריטריונים!$B$2,Jun!B61&gt;קריטריונים!$B$3),Jun!K61,"")</f>
        <v/>
      </c>
      <c r="Z60" s="113" t="str">
        <f>IF(AND(ABS(Jun!J61)&gt;קריטריונים!$B$2,Jun!B61&gt;קריטריונים!$B$3),Jun!J61,"")</f>
        <v/>
      </c>
      <c r="AA60" s="113" t="str">
        <f>IF(AND(ABS(Jun!F61)&gt;קריטריונים!$B$1,Jun!B61&gt;קריטריונים!$B$3),Jun!F61,"")</f>
        <v/>
      </c>
      <c r="AB60" s="113" t="str">
        <f>IF(AND(ABS(Jun!E61)&gt;קריטריונים!$B$1,Jun!B61&gt;קריטריונים!$B$3),Jun!E61,"")</f>
        <v/>
      </c>
      <c r="AC60" s="113" t="str">
        <f>IF(AND(ABS(May!K61)&gt;קריטריונים!$B$2,May!B61&gt;קריטריונים!$B$3),May!K61,"")</f>
        <v/>
      </c>
      <c r="AD60" s="113" t="str">
        <f>IF(AND(ABS(May!J61)&gt;קריטריונים!$B$2,May!B61&gt;קריטריונים!$B$3),May!J61,"")</f>
        <v/>
      </c>
      <c r="AE60" s="113" t="str">
        <f>IF(AND(ABS(May!F61)&gt;קריטריונים!$B$1,May!B61&gt;קריטריונים!$B$3),May!F61,"")</f>
        <v/>
      </c>
      <c r="AF60" s="113" t="str">
        <f>IF(AND(ABS(May!E61)&gt;קריטריונים!$B$1,May!B61&gt;קריטריונים!$B$3),May!E61,"")</f>
        <v/>
      </c>
      <c r="AG60" s="113" t="str">
        <f>IF(AND(ABS(Apr!K61)&gt;קריטריונים!$B$2,Apr!B61&gt;קריטריונים!$B$3),Apr!K61,"")</f>
        <v/>
      </c>
      <c r="AH60" s="113" t="str">
        <f>IF(AND(ABS(Apr!J61)&gt;קריטריונים!$B$2,Apr!B61&gt;קריטריונים!$B$3),Apr!J61,"")</f>
        <v/>
      </c>
      <c r="AI60" s="113" t="str">
        <f>IF(AND(ABS(Apr!F61)&gt;קריטריונים!$B$1,Apr!B61&gt;קריטריונים!$B$3),Apr!F61,"")</f>
        <v/>
      </c>
      <c r="AJ60" s="113" t="str">
        <f>IF(AND(ABS(Apr!E61)&gt;קריטריונים!$B$1,Apr!B61&gt;קריטריונים!$B$3),Apr!E61,"")</f>
        <v/>
      </c>
      <c r="AK60" s="113" t="str">
        <f>IF(AND(ABS(Mar!K61)&gt;קריטריונים!$B$2,Mar!B61&gt;קריטריונים!$B$3),Mar!K61,"")</f>
        <v/>
      </c>
      <c r="AL60" s="113" t="str">
        <f>IF(AND(ABS(Mar!J61)&gt;קריטריונים!$B$2,Mar!B61&gt;קריטריונים!$B$3),Mar!J61,"")</f>
        <v/>
      </c>
      <c r="AM60" s="113" t="str">
        <f>IF(AND(ABS(Mar!F61)&gt;קריטריונים!$B$1,Mar!B61&gt;קריטריונים!$B$3),Mar!F61,"")</f>
        <v/>
      </c>
      <c r="AN60" s="113" t="str">
        <f>IF(AND(ABS(Mar!E61)&gt;קריטריונים!$B$1,Mar!B61&gt;קריטריונים!$B$3),Mar!E61,"")</f>
        <v/>
      </c>
      <c r="AO60" s="113" t="str">
        <f>IF(AND(ABS(Feb!K61)&gt;קריטריונים!$B$2,Feb!B61&gt;קריטריונים!$B$3),Feb!K61,"")</f>
        <v/>
      </c>
      <c r="AP60" s="113" t="str">
        <f>IF(AND(ABS(Feb!J61)&gt;קריטריונים!$B$2,Feb!B61&gt;קריטריונים!$B$3),Feb!J61,"")</f>
        <v/>
      </c>
      <c r="AQ60" s="113" t="str">
        <f>IF(AND(ABS(Feb!F61)&gt;קריטריונים!$B$1,Feb!B61&gt;קריטריונים!$B$3),Feb!F61,"")</f>
        <v/>
      </c>
      <c r="AR60" s="113" t="str">
        <f>IF(AND(ABS(Feb!E61)&gt;קריטריונים!$B$1,Feb!B61&gt;קריטריונים!$B$3),Feb!E61,"")</f>
        <v/>
      </c>
      <c r="AS60" s="113" t="str">
        <f>IF(AND(ABS(Jan!F61)&gt;קריטריונים!$B$1,Jan!B61&gt;קריטריונים!$B$3),Jan!F61,"")</f>
        <v/>
      </c>
      <c r="AT60" s="103" t="str">
        <f>IF(AND(ABS(Jan!E61)&gt;קריטריונים!$B$1,Jan!B61&gt;קריטריונים!$B$3),Jan!E61,"")</f>
        <v/>
      </c>
      <c r="AU60" s="119"/>
      <c r="AV60" s="4"/>
    </row>
    <row r="61" spans="1:48">
      <c r="A61" s="112" t="str">
        <f>IF(AND(ABS(Dec!K62)&gt;קריטריונים!$B$2,Dec!B62&gt;קריטריונים!$B$3),Dec!K62,"")</f>
        <v/>
      </c>
      <c r="B61" s="113" t="str">
        <f>IF(AND(ABS(Dec!J62)&gt;קריטריונים!$B$2,Dec!B62&gt;קריטריונים!$B$3),Dec!J62,"")</f>
        <v/>
      </c>
      <c r="C61" s="113" t="str">
        <f>IF(AND(ABS(Dec!F62)&gt;קריטריונים!$B$1,Dec!B62&gt;קריטריונים!$B$3),Dec!F62,"")</f>
        <v/>
      </c>
      <c r="D61" s="113" t="str">
        <f>IF(AND(ABS(Dec!E62)&gt;קריטריונים!$B$1,Dec!B62&gt;קריטריונים!$B$3),Dec!E62,"")</f>
        <v/>
      </c>
      <c r="E61" s="113" t="str">
        <f>IF(AND(ABS(Nov!K62)&gt;קריטריונים!$B$2,Nov!B62&gt;קריטריונים!$B$3),Nov!K62,"")</f>
        <v/>
      </c>
      <c r="F61" s="113" t="str">
        <f>IF(AND(ABS(Nov!J62)&gt;קריטריונים!$B$2,Nov!B62&gt;קריטריונים!$B$3),Nov!J62,"")</f>
        <v/>
      </c>
      <c r="G61" s="113" t="str">
        <f>IF(AND(ABS(Nov!F62)&gt;קריטריונים!$B$1,Nov!B62&gt;קריטריונים!$B$3),Nov!F62,"")</f>
        <v/>
      </c>
      <c r="H61" s="113" t="str">
        <f>IF(AND(ABS(Nov!E62)&gt;קריטריונים!$B$1,Nov!B62&gt;קריטריונים!$B$3),Nov!E62,"")</f>
        <v/>
      </c>
      <c r="I61" s="113" t="str">
        <f>IF(AND(ABS(Oct!K62)&gt;קריטריונים!$B$2,Oct!B62&gt;קריטריונים!$B$3),Oct!K62,"")</f>
        <v/>
      </c>
      <c r="J61" s="113" t="str">
        <f>IF(AND(ABS(Oct!J62)&gt;קריטריונים!$B$2,Oct!B62&gt;קריטריונים!$B$3),Oct!J62,"")</f>
        <v/>
      </c>
      <c r="K61" s="113" t="str">
        <f>IF(AND(ABS(Oct!F62)&gt;קריטריונים!$B$1,Oct!B62&gt;קריטריונים!$B$3),Oct!F62,"")</f>
        <v/>
      </c>
      <c r="L61" s="113" t="str">
        <f>IF(AND(ABS(Oct!E62)&gt;קריטריונים!$B$1,Oct!B62&gt;קריטריונים!$B$3),Oct!E62,"")</f>
        <v/>
      </c>
      <c r="M61" s="113" t="str">
        <f>IF(AND(ABS(Sep!K62)&gt;קריטריונים!$B$2,Sep!B62&gt;קריטריונים!$B$3),Sep!K62,"")</f>
        <v/>
      </c>
      <c r="N61" s="113" t="str">
        <f>IF(AND(ABS(Sep!J62)&gt;קריטריונים!$B$2,Sep!B62&gt;קריטריונים!$B$3),Sep!J62,"")</f>
        <v/>
      </c>
      <c r="O61" s="113" t="str">
        <f>IF(AND(ABS(Sep!F62)&gt;קריטריונים!$B$1,Sep!B62&gt;קריטריונים!$B$3),Sep!F62,"")</f>
        <v/>
      </c>
      <c r="P61" s="113" t="str">
        <f>IF(AND(ABS(Sep!E62)&gt;קריטריונים!$B$1,Sep!B62&gt;קריטריונים!$B$3),Sep!E62,"")</f>
        <v/>
      </c>
      <c r="Q61" s="113" t="str">
        <f>IF(AND(ABS(Aug!K62)&gt;קריטריונים!$B$2,Aug!B62&gt;קריטריונים!$B$3),Aug!K62,"")</f>
        <v/>
      </c>
      <c r="R61" s="113" t="str">
        <f>IF(AND(ABS(Aug!J62)&gt;קריטריונים!$B$2,Aug!B62&gt;קריטריונים!$B$3),Aug!J62,"")</f>
        <v/>
      </c>
      <c r="S61" s="113" t="str">
        <f>IF(AND(ABS(Aug!F62)&gt;קריטריונים!$B$1,Aug!B62&gt;קריטריונים!$B$3),Aug!F62,"")</f>
        <v/>
      </c>
      <c r="T61" s="113" t="str">
        <f>IF(AND(ABS(Aug!E62)&gt;קריטריונים!$B$1,Aug!B62&gt;קריטריונים!$B$3),Aug!E62,"")</f>
        <v/>
      </c>
      <c r="U61" s="113" t="str">
        <f>IF(AND(ABS(Jul!K62)&gt;קריטריונים!$B$2,Jul!B62&gt;קריטריונים!$B$3),Jul!K62,"")</f>
        <v/>
      </c>
      <c r="V61" s="113" t="str">
        <f>IF(AND(ABS(Jul!J62)&gt;קריטריונים!$B$2,Jul!B62&gt;קריטריונים!$B$3),Jul!J62,"")</f>
        <v/>
      </c>
      <c r="W61" s="113" t="str">
        <f>IF(AND(ABS(Jul!F62)&gt;קריטריונים!$B$1,Jul!B62&gt;קריטריונים!$B$3),Jul!F62,"")</f>
        <v/>
      </c>
      <c r="X61" s="113" t="str">
        <f>IF(AND(ABS(Jul!E62)&gt;קריטריונים!$B$1,Jul!B62&gt;קריטריונים!$B$3),Jul!E62,"")</f>
        <v/>
      </c>
      <c r="Y61" s="113" t="str">
        <f>IF(AND(ABS(Jun!K62)&gt;קריטריונים!$B$2,Jun!B62&gt;קריטריונים!$B$3),Jun!K62,"")</f>
        <v/>
      </c>
      <c r="Z61" s="113" t="str">
        <f>IF(AND(ABS(Jun!J62)&gt;קריטריונים!$B$2,Jun!B62&gt;קריטריונים!$B$3),Jun!J62,"")</f>
        <v/>
      </c>
      <c r="AA61" s="113" t="str">
        <f>IF(AND(ABS(Jun!F62)&gt;קריטריונים!$B$1,Jun!B62&gt;קריטריונים!$B$3),Jun!F62,"")</f>
        <v/>
      </c>
      <c r="AB61" s="113" t="str">
        <f>IF(AND(ABS(Jun!E62)&gt;קריטריונים!$B$1,Jun!B62&gt;קריטריונים!$B$3),Jun!E62,"")</f>
        <v/>
      </c>
      <c r="AC61" s="113" t="str">
        <f>IF(AND(ABS(May!K62)&gt;קריטריונים!$B$2,May!B62&gt;קריטריונים!$B$3),May!K62,"")</f>
        <v/>
      </c>
      <c r="AD61" s="113" t="str">
        <f>IF(AND(ABS(May!J62)&gt;קריטריונים!$B$2,May!B62&gt;קריטריונים!$B$3),May!J62,"")</f>
        <v/>
      </c>
      <c r="AE61" s="113" t="str">
        <f>IF(AND(ABS(May!F62)&gt;קריטריונים!$B$1,May!B62&gt;קריטריונים!$B$3),May!F62,"")</f>
        <v/>
      </c>
      <c r="AF61" s="113" t="str">
        <f>IF(AND(ABS(May!E62)&gt;קריטריונים!$B$1,May!B62&gt;קריטריונים!$B$3),May!E62,"")</f>
        <v/>
      </c>
      <c r="AG61" s="113" t="str">
        <f>IF(AND(ABS(Apr!K62)&gt;קריטריונים!$B$2,Apr!B62&gt;קריטריונים!$B$3),Apr!K62,"")</f>
        <v/>
      </c>
      <c r="AH61" s="113" t="str">
        <f>IF(AND(ABS(Apr!J62)&gt;קריטריונים!$B$2,Apr!B62&gt;קריטריונים!$B$3),Apr!J62,"")</f>
        <v/>
      </c>
      <c r="AI61" s="113" t="str">
        <f>IF(AND(ABS(Apr!F62)&gt;קריטריונים!$B$1,Apr!B62&gt;קריטריונים!$B$3),Apr!F62,"")</f>
        <v/>
      </c>
      <c r="AJ61" s="113" t="str">
        <f>IF(AND(ABS(Apr!E62)&gt;קריטריונים!$B$1,Apr!B62&gt;קריטריונים!$B$3),Apr!E62,"")</f>
        <v/>
      </c>
      <c r="AK61" s="113" t="str">
        <f>IF(AND(ABS(Mar!K62)&gt;קריטריונים!$B$2,Mar!B62&gt;קריטריונים!$B$3),Mar!K62,"")</f>
        <v/>
      </c>
      <c r="AL61" s="113" t="str">
        <f>IF(AND(ABS(Mar!J62)&gt;קריטריונים!$B$2,Mar!B62&gt;קריטריונים!$B$3),Mar!J62,"")</f>
        <v/>
      </c>
      <c r="AM61" s="113" t="str">
        <f>IF(AND(ABS(Mar!F62)&gt;קריטריונים!$B$1,Mar!B62&gt;קריטריונים!$B$3),Mar!F62,"")</f>
        <v/>
      </c>
      <c r="AN61" s="113" t="str">
        <f>IF(AND(ABS(Mar!E62)&gt;קריטריונים!$B$1,Mar!B62&gt;קריטריונים!$B$3),Mar!E62,"")</f>
        <v/>
      </c>
      <c r="AO61" s="113" t="str">
        <f>IF(AND(ABS(Feb!K62)&gt;קריטריונים!$B$2,Feb!B62&gt;קריטריונים!$B$3),Feb!K62,"")</f>
        <v/>
      </c>
      <c r="AP61" s="113" t="str">
        <f>IF(AND(ABS(Feb!J62)&gt;קריטריונים!$B$2,Feb!B62&gt;קריטריונים!$B$3),Feb!J62,"")</f>
        <v/>
      </c>
      <c r="AQ61" s="113" t="str">
        <f>IF(AND(ABS(Feb!F62)&gt;קריטריונים!$B$1,Feb!B62&gt;קריטריונים!$B$3),Feb!F62,"")</f>
        <v/>
      </c>
      <c r="AR61" s="113" t="str">
        <f>IF(AND(ABS(Feb!E62)&gt;קריטריונים!$B$1,Feb!B62&gt;קריטריונים!$B$3),Feb!E62,"")</f>
        <v/>
      </c>
      <c r="AS61" s="113" t="str">
        <f>IF(AND(ABS(Jan!F62)&gt;קריטריונים!$B$1,Jan!B62&gt;קריטריונים!$B$3),Jan!F62,"")</f>
        <v/>
      </c>
      <c r="AT61" s="103" t="str">
        <f>IF(AND(ABS(Jan!E62)&gt;קריטריונים!$B$1,Jan!B62&gt;קריטריונים!$B$3),Jan!E62,"")</f>
        <v/>
      </c>
      <c r="AU61" s="118" t="s">
        <v>50</v>
      </c>
      <c r="AV61" s="4"/>
    </row>
    <row r="62" spans="1:48">
      <c r="A62" s="112" t="str">
        <f>IF(AND(ABS(Dec!K63)&gt;קריטריונים!$B$2,Dec!B63&gt;קריטריונים!$B$3),Dec!K63,"")</f>
        <v/>
      </c>
      <c r="B62" s="113" t="str">
        <f>IF(AND(ABS(Dec!J63)&gt;קריטריונים!$B$2,Dec!B63&gt;קריטריונים!$B$3),Dec!J63,"")</f>
        <v/>
      </c>
      <c r="C62" s="113" t="str">
        <f>IF(AND(ABS(Dec!F63)&gt;קריטריונים!$B$1,Dec!B63&gt;קריטריונים!$B$3),Dec!F63,"")</f>
        <v/>
      </c>
      <c r="D62" s="113" t="str">
        <f>IF(AND(ABS(Dec!E63)&gt;קריטריונים!$B$1,Dec!B63&gt;קריטריונים!$B$3),Dec!E63,"")</f>
        <v/>
      </c>
      <c r="E62" s="113" t="str">
        <f>IF(AND(ABS(Nov!K63)&gt;קריטריונים!$B$2,Nov!B63&gt;קריטריונים!$B$3),Nov!K63,"")</f>
        <v/>
      </c>
      <c r="F62" s="113" t="str">
        <f>IF(AND(ABS(Nov!J63)&gt;קריטריונים!$B$2,Nov!B63&gt;קריטריונים!$B$3),Nov!J63,"")</f>
        <v/>
      </c>
      <c r="G62" s="113" t="str">
        <f>IF(AND(ABS(Nov!F63)&gt;קריטריונים!$B$1,Nov!B63&gt;קריטריונים!$B$3),Nov!F63,"")</f>
        <v/>
      </c>
      <c r="H62" s="113" t="str">
        <f>IF(AND(ABS(Nov!E63)&gt;קריטריונים!$B$1,Nov!B63&gt;קריטריונים!$B$3),Nov!E63,"")</f>
        <v/>
      </c>
      <c r="I62" s="113" t="str">
        <f>IF(AND(ABS(Oct!K63)&gt;קריטריונים!$B$2,Oct!B63&gt;קריטריונים!$B$3),Oct!K63,"")</f>
        <v/>
      </c>
      <c r="J62" s="113" t="str">
        <f>IF(AND(ABS(Oct!J63)&gt;קריטריונים!$B$2,Oct!B63&gt;קריטריונים!$B$3),Oct!J63,"")</f>
        <v/>
      </c>
      <c r="K62" s="113" t="str">
        <f>IF(AND(ABS(Oct!F63)&gt;קריטריונים!$B$1,Oct!B63&gt;קריטריונים!$B$3),Oct!F63,"")</f>
        <v/>
      </c>
      <c r="L62" s="113" t="str">
        <f>IF(AND(ABS(Oct!E63)&gt;קריטריונים!$B$1,Oct!B63&gt;קריטריונים!$B$3),Oct!E63,"")</f>
        <v/>
      </c>
      <c r="M62" s="113" t="str">
        <f>IF(AND(ABS(Sep!K63)&gt;קריטריונים!$B$2,Sep!B63&gt;קריטריונים!$B$3),Sep!K63,"")</f>
        <v/>
      </c>
      <c r="N62" s="113" t="str">
        <f>IF(AND(ABS(Sep!J63)&gt;קריטריונים!$B$2,Sep!B63&gt;קריטריונים!$B$3),Sep!J63,"")</f>
        <v/>
      </c>
      <c r="O62" s="113" t="str">
        <f>IF(AND(ABS(Sep!F63)&gt;קריטריונים!$B$1,Sep!B63&gt;קריטריונים!$B$3),Sep!F63,"")</f>
        <v/>
      </c>
      <c r="P62" s="113" t="str">
        <f>IF(AND(ABS(Sep!E63)&gt;קריטריונים!$B$1,Sep!B63&gt;קריטריונים!$B$3),Sep!E63,"")</f>
        <v/>
      </c>
      <c r="Q62" s="113" t="str">
        <f>IF(AND(ABS(Aug!K63)&gt;קריטריונים!$B$2,Aug!B63&gt;קריטריונים!$B$3),Aug!K63,"")</f>
        <v/>
      </c>
      <c r="R62" s="113" t="str">
        <f>IF(AND(ABS(Aug!J63)&gt;קריטריונים!$B$2,Aug!B63&gt;קריטריונים!$B$3),Aug!J63,"")</f>
        <v/>
      </c>
      <c r="S62" s="113" t="str">
        <f>IF(AND(ABS(Aug!F63)&gt;קריטריונים!$B$1,Aug!B63&gt;קריטריונים!$B$3),Aug!F63,"")</f>
        <v/>
      </c>
      <c r="T62" s="113" t="str">
        <f>IF(AND(ABS(Aug!E63)&gt;קריטריונים!$B$1,Aug!B63&gt;קריטריונים!$B$3),Aug!E63,"")</f>
        <v/>
      </c>
      <c r="U62" s="113" t="str">
        <f>IF(AND(ABS(Jul!K63)&gt;קריטריונים!$B$2,Jul!B63&gt;קריטריונים!$B$3),Jul!K63,"")</f>
        <v/>
      </c>
      <c r="V62" s="113" t="str">
        <f>IF(AND(ABS(Jul!J63)&gt;קריטריונים!$B$2,Jul!B63&gt;קריטריונים!$B$3),Jul!J63,"")</f>
        <v/>
      </c>
      <c r="W62" s="113" t="str">
        <f>IF(AND(ABS(Jul!F63)&gt;קריטריונים!$B$1,Jul!B63&gt;קריטריונים!$B$3),Jul!F63,"")</f>
        <v/>
      </c>
      <c r="X62" s="113" t="str">
        <f>IF(AND(ABS(Jul!E63)&gt;קריטריונים!$B$1,Jul!B63&gt;קריטריונים!$B$3),Jul!E63,"")</f>
        <v/>
      </c>
      <c r="Y62" s="113" t="str">
        <f>IF(AND(ABS(Jun!K63)&gt;קריטריונים!$B$2,Jun!B63&gt;קריטריונים!$B$3),Jun!K63,"")</f>
        <v/>
      </c>
      <c r="Z62" s="113" t="str">
        <f>IF(AND(ABS(Jun!J63)&gt;קריטריונים!$B$2,Jun!B63&gt;קריטריונים!$B$3),Jun!J63,"")</f>
        <v/>
      </c>
      <c r="AA62" s="113" t="str">
        <f>IF(AND(ABS(Jun!F63)&gt;קריטריונים!$B$1,Jun!B63&gt;קריטריונים!$B$3),Jun!F63,"")</f>
        <v/>
      </c>
      <c r="AB62" s="113" t="str">
        <f>IF(AND(ABS(Jun!E63)&gt;קריטריונים!$B$1,Jun!B63&gt;קריטריונים!$B$3),Jun!E63,"")</f>
        <v/>
      </c>
      <c r="AC62" s="113" t="str">
        <f>IF(AND(ABS(May!K63)&gt;קריטריונים!$B$2,May!B63&gt;קריטריונים!$B$3),May!K63,"")</f>
        <v/>
      </c>
      <c r="AD62" s="113" t="str">
        <f>IF(AND(ABS(May!J63)&gt;קריטריונים!$B$2,May!B63&gt;קריטריונים!$B$3),May!J63,"")</f>
        <v/>
      </c>
      <c r="AE62" s="113" t="str">
        <f>IF(AND(ABS(May!F63)&gt;קריטריונים!$B$1,May!B63&gt;קריטריונים!$B$3),May!F63,"")</f>
        <v/>
      </c>
      <c r="AF62" s="113" t="str">
        <f>IF(AND(ABS(May!E63)&gt;קריטריונים!$B$1,May!B63&gt;קריטריונים!$B$3),May!E63,"")</f>
        <v/>
      </c>
      <c r="AG62" s="113" t="str">
        <f>IF(AND(ABS(Apr!K63)&gt;קריטריונים!$B$2,Apr!B63&gt;קריטריונים!$B$3),Apr!K63,"")</f>
        <v/>
      </c>
      <c r="AH62" s="113" t="str">
        <f>IF(AND(ABS(Apr!J63)&gt;קריטריונים!$B$2,Apr!B63&gt;קריטריונים!$B$3),Apr!J63,"")</f>
        <v/>
      </c>
      <c r="AI62" s="113" t="str">
        <f>IF(AND(ABS(Apr!F63)&gt;קריטריונים!$B$1,Apr!B63&gt;קריטריונים!$B$3),Apr!F63,"")</f>
        <v/>
      </c>
      <c r="AJ62" s="113" t="str">
        <f>IF(AND(ABS(Apr!E63)&gt;קריטריונים!$B$1,Apr!B63&gt;קריטריונים!$B$3),Apr!E63,"")</f>
        <v/>
      </c>
      <c r="AK62" s="113" t="str">
        <f>IF(AND(ABS(Mar!K63)&gt;קריטריונים!$B$2,Mar!B63&gt;קריטריונים!$B$3),Mar!K63,"")</f>
        <v/>
      </c>
      <c r="AL62" s="113" t="str">
        <f>IF(AND(ABS(Mar!J63)&gt;קריטריונים!$B$2,Mar!B63&gt;קריטריונים!$B$3),Mar!J63,"")</f>
        <v/>
      </c>
      <c r="AM62" s="113" t="str">
        <f>IF(AND(ABS(Mar!F63)&gt;קריטריונים!$B$1,Mar!B63&gt;קריטריונים!$B$3),Mar!F63,"")</f>
        <v/>
      </c>
      <c r="AN62" s="113" t="str">
        <f>IF(AND(ABS(Mar!E63)&gt;קריטריונים!$B$1,Mar!B63&gt;קריטריונים!$B$3),Mar!E63,"")</f>
        <v/>
      </c>
      <c r="AO62" s="113" t="str">
        <f>IF(AND(ABS(Feb!K63)&gt;קריטריונים!$B$2,Feb!B63&gt;קריטריונים!$B$3),Feb!K63,"")</f>
        <v/>
      </c>
      <c r="AP62" s="113" t="str">
        <f>IF(AND(ABS(Feb!J63)&gt;קריטריונים!$B$2,Feb!B63&gt;קריטריונים!$B$3),Feb!J63,"")</f>
        <v/>
      </c>
      <c r="AQ62" s="113" t="str">
        <f>IF(AND(ABS(Feb!F63)&gt;קריטריונים!$B$1,Feb!B63&gt;קריטריונים!$B$3),Feb!F63,"")</f>
        <v/>
      </c>
      <c r="AR62" s="113" t="str">
        <f>IF(AND(ABS(Feb!E63)&gt;קריטריונים!$B$1,Feb!B63&gt;קריטריונים!$B$3),Feb!E63,"")</f>
        <v/>
      </c>
      <c r="AS62" s="113" t="str">
        <f>IF(AND(ABS(Jan!F63)&gt;קריטריונים!$B$1,Jan!B63&gt;קריטריונים!$B$3),Jan!F63,"")</f>
        <v/>
      </c>
      <c r="AT62" s="103" t="str">
        <f>IF(AND(ABS(Jan!E63)&gt;קריטריונים!$B$1,Jan!B63&gt;קריטריונים!$B$3),Jan!E63,"")</f>
        <v/>
      </c>
      <c r="AU62" s="118" t="s">
        <v>51</v>
      </c>
      <c r="AV62" s="4"/>
    </row>
    <row r="63" spans="1:48">
      <c r="A63" s="112" t="str">
        <f>IF(AND(ABS(Dec!K64)&gt;קריטריונים!$B$2,Dec!B64&gt;קריטריונים!$B$3),Dec!K64,"")</f>
        <v/>
      </c>
      <c r="B63" s="113" t="str">
        <f>IF(AND(ABS(Dec!J64)&gt;קריטריונים!$B$2,Dec!B64&gt;קריטריונים!$B$3),Dec!J64,"")</f>
        <v/>
      </c>
      <c r="C63" s="113" t="str">
        <f>IF(AND(ABS(Dec!F64)&gt;קריטריונים!$B$1,Dec!B64&gt;קריטריונים!$B$3),Dec!F64,"")</f>
        <v/>
      </c>
      <c r="D63" s="113" t="str">
        <f>IF(AND(ABS(Dec!E64)&gt;קריטריונים!$B$1,Dec!B64&gt;קריטריונים!$B$3),Dec!E64,"")</f>
        <v/>
      </c>
      <c r="E63" s="113">
        <f>IF(AND(ABS(Nov!K64)&gt;קריטריונים!$B$2,Nov!B64&gt;קריטריונים!$B$3),Nov!K64,"")</f>
        <v>0.69309901414487762</v>
      </c>
      <c r="F63" s="113">
        <f>IF(AND(ABS(Nov!J64)&gt;קריטריונים!$B$2,Nov!B64&gt;קריטריונים!$B$3),Nov!J64,"")</f>
        <v>0.37894920579507763</v>
      </c>
      <c r="G63" s="113">
        <f>IF(AND(ABS(Nov!F64)&gt;קריטריונים!$B$1,Nov!B64&gt;קריטריונים!$B$3),Nov!F64,"")</f>
        <v>0.16071428571428559</v>
      </c>
      <c r="H63" s="113">
        <f>IF(AND(ABS(Nov!E64)&gt;קריטריונים!$B$1,Nov!B64&gt;קריטריונים!$B$3),Nov!E64,"")</f>
        <v>0.10968843363209557</v>
      </c>
      <c r="I63" s="113">
        <f>IF(AND(ABS(Oct!K64)&gt;קריטריונים!$B$2,Oct!B64&gt;קריטריונים!$B$3),Oct!K64,"")</f>
        <v>0.86125211505922161</v>
      </c>
      <c r="J63" s="113">
        <f>IF(AND(ABS(Oct!J64)&gt;קריטריונים!$B$2,Oct!B64&gt;קריטריונים!$B$3),Oct!J64,"")</f>
        <v>0.44816236972024126</v>
      </c>
      <c r="K63" s="113">
        <f>IF(AND(ABS(Oct!F64)&gt;קריטריונים!$B$1,Oct!B64&gt;קריטריונים!$B$3),Oct!F64,"")</f>
        <v>0.70807453416149069</v>
      </c>
      <c r="L63" s="113">
        <f>IF(AND(ABS(Oct!E64)&gt;קריטריונים!$B$1,Oct!B64&gt;קריטריונים!$B$3),Oct!E64,"")</f>
        <v>0.79007323026851095</v>
      </c>
      <c r="M63" s="113" t="str">
        <f>IF(AND(ABS(Sep!K64)&gt;קריטריונים!$B$2,Sep!B64&gt;קריטריונים!$B$3),Sep!K64,"")</f>
        <v/>
      </c>
      <c r="N63" s="113" t="str">
        <f>IF(AND(ABS(Sep!J64)&gt;קריטריונים!$B$2,Sep!B64&gt;קריטריונים!$B$3),Sep!J64,"")</f>
        <v/>
      </c>
      <c r="O63" s="113" t="str">
        <f>IF(AND(ABS(Sep!F64)&gt;קריטריונים!$B$1,Sep!B64&gt;קריטריונים!$B$3),Sep!F64,"")</f>
        <v/>
      </c>
      <c r="P63" s="113" t="str">
        <f>IF(AND(ABS(Sep!E64)&gt;קריטריונים!$B$1,Sep!B64&gt;קריטריונים!$B$3),Sep!E64,"")</f>
        <v/>
      </c>
      <c r="Q63" s="113" t="str">
        <f>IF(AND(ABS(Aug!K64)&gt;קריטריונים!$B$2,Aug!B64&gt;קריטריונים!$B$3),Aug!K64,"")</f>
        <v/>
      </c>
      <c r="R63" s="113" t="str">
        <f>IF(AND(ABS(Aug!J64)&gt;קריטריונים!$B$2,Aug!B64&gt;קריטריונים!$B$3),Aug!J64,"")</f>
        <v/>
      </c>
      <c r="S63" s="113" t="str">
        <f>IF(AND(ABS(Aug!F64)&gt;קריטריונים!$B$1,Aug!B64&gt;קריטריונים!$B$3),Aug!F64,"")</f>
        <v/>
      </c>
      <c r="T63" s="113" t="str">
        <f>IF(AND(ABS(Aug!E64)&gt;קריטריונים!$B$1,Aug!B64&gt;קריטריונים!$B$3),Aug!E64,"")</f>
        <v/>
      </c>
      <c r="U63" s="113" t="str">
        <f>IF(AND(ABS(Jul!K64)&gt;קריטריונים!$B$2,Jul!B64&gt;קריטריונים!$B$3),Jul!K64,"")</f>
        <v/>
      </c>
      <c r="V63" s="113" t="str">
        <f>IF(AND(ABS(Jul!J64)&gt;קריטריונים!$B$2,Jul!B64&gt;קריטריונים!$B$3),Jul!J64,"")</f>
        <v/>
      </c>
      <c r="W63" s="113" t="str">
        <f>IF(AND(ABS(Jul!F64)&gt;קריטריונים!$B$1,Jul!B64&gt;קריטריונים!$B$3),Jul!F64,"")</f>
        <v/>
      </c>
      <c r="X63" s="113" t="str">
        <f>IF(AND(ABS(Jul!E64)&gt;קריטריונים!$B$1,Jul!B64&gt;קריטריונים!$B$3),Jul!E64,"")</f>
        <v/>
      </c>
      <c r="Y63" s="113" t="str">
        <f>IF(AND(ABS(Jun!K64)&gt;קריטריונים!$B$2,Jun!B64&gt;קריטריונים!$B$3),Jun!K64,"")</f>
        <v/>
      </c>
      <c r="Z63" s="113" t="str">
        <f>IF(AND(ABS(Jun!J64)&gt;קריטריונים!$B$2,Jun!B64&gt;קריטריונים!$B$3),Jun!J64,"")</f>
        <v/>
      </c>
      <c r="AA63" s="113" t="str">
        <f>IF(AND(ABS(Jun!F64)&gt;קריטריונים!$B$1,Jun!B64&gt;קריטריונים!$B$3),Jun!F64,"")</f>
        <v/>
      </c>
      <c r="AB63" s="113" t="str">
        <f>IF(AND(ABS(Jun!E64)&gt;קריטריונים!$B$1,Jun!B64&gt;קריטריונים!$B$3),Jun!E64,"")</f>
        <v/>
      </c>
      <c r="AC63" s="113" t="str">
        <f>IF(AND(ABS(May!K64)&gt;קריטריונים!$B$2,May!B64&gt;קריטריונים!$B$3),May!K64,"")</f>
        <v/>
      </c>
      <c r="AD63" s="113" t="str">
        <f>IF(AND(ABS(May!J64)&gt;קריטריונים!$B$2,May!B64&gt;קריטריונים!$B$3),May!J64,"")</f>
        <v/>
      </c>
      <c r="AE63" s="113" t="str">
        <f>IF(AND(ABS(May!F64)&gt;קריטריונים!$B$1,May!B64&gt;קריטריונים!$B$3),May!F64,"")</f>
        <v/>
      </c>
      <c r="AF63" s="113" t="str">
        <f>IF(AND(ABS(May!E64)&gt;קריטריונים!$B$1,May!B64&gt;קריטריונים!$B$3),May!E64,"")</f>
        <v/>
      </c>
      <c r="AG63" s="113" t="str">
        <f>IF(AND(ABS(Apr!K64)&gt;קריטריונים!$B$2,Apr!B64&gt;קריטריונים!$B$3),Apr!K64,"")</f>
        <v/>
      </c>
      <c r="AH63" s="113" t="str">
        <f>IF(AND(ABS(Apr!J64)&gt;קריטריונים!$B$2,Apr!B64&gt;קריטריונים!$B$3),Apr!J64,"")</f>
        <v/>
      </c>
      <c r="AI63" s="113" t="str">
        <f>IF(AND(ABS(Apr!F64)&gt;קריטריונים!$B$1,Apr!B64&gt;קריטריונים!$B$3),Apr!F64,"")</f>
        <v/>
      </c>
      <c r="AJ63" s="113" t="str">
        <f>IF(AND(ABS(Apr!E64)&gt;קריטריונים!$B$1,Apr!B64&gt;קריטריונים!$B$3),Apr!E64,"")</f>
        <v/>
      </c>
      <c r="AK63" s="113">
        <f>IF(AND(ABS(Mar!K64)&gt;קריטריונים!$B$2,Mar!B64&gt;קריטריונים!$B$3),Mar!K64,"")</f>
        <v>1.2960229602296023</v>
      </c>
      <c r="AL63" s="113">
        <f>IF(AND(ABS(Mar!J64)&gt;קריטריונים!$B$2,Mar!B64&gt;קריטריונים!$B$3),Mar!J64,"")</f>
        <v>0.19991429183629728</v>
      </c>
      <c r="AM63" s="113">
        <f>IF(AND(ABS(Mar!F64)&gt;קריטריונים!$B$1,Mar!B64&gt;קריטריונים!$B$3),Mar!F64,"")</f>
        <v>0.83397683397683386</v>
      </c>
      <c r="AN63" s="113">
        <f>IF(AND(ABS(Mar!E64)&gt;קריטריונים!$B$1,Mar!B64&gt;קריטריונים!$B$3),Mar!E64,"")</f>
        <v>0.14114114114114096</v>
      </c>
      <c r="AO63" s="113">
        <f>IF(AND(ABS(Feb!K64)&gt;קריטריונים!$B$2,Feb!B64&gt;קריטריונים!$B$3),Feb!K64,"")</f>
        <v>1.6372059871703493</v>
      </c>
      <c r="AP63" s="113">
        <f>IF(AND(ABS(Feb!J64)&gt;קריטריונים!$B$2,Feb!B64&gt;קריטריונים!$B$3),Feb!J64,"")</f>
        <v>0.23251165889407077</v>
      </c>
      <c r="AQ63" s="113">
        <f>IF(AND(ABS(Feb!F64)&gt;קריטריונים!$B$1,Feb!B64&gt;קריטריונים!$B$3),Feb!F64,"")</f>
        <v>1.4676850763807288</v>
      </c>
      <c r="AR63" s="113">
        <f>IF(AND(ABS(Feb!E64)&gt;קריטריונים!$B$1,Feb!B64&gt;קריטריונים!$B$3),Feb!E64,"")</f>
        <v>0.21598147075854079</v>
      </c>
      <c r="AS63" s="113">
        <f>IF(AND(ABS(Jan!F64)&gt;קריטריונים!$B$1,Jan!B64&gt;קריטריונים!$B$3),Jan!F64,"")</f>
        <v>1.8985507246376812</v>
      </c>
      <c r="AT63" s="103">
        <f>IF(AND(ABS(Jan!E64)&gt;קריטריונים!$B$1,Jan!B64&gt;קריטריונים!$B$3),Jan!E64,"")</f>
        <v>0.25490196078431393</v>
      </c>
      <c r="AU63" s="118" t="s">
        <v>52</v>
      </c>
      <c r="AV63" s="4"/>
    </row>
    <row r="64" spans="1:48">
      <c r="A64" s="112" t="str">
        <f>IF(AND(ABS(Dec!K65)&gt;קריטריונים!$B$2,Dec!B65&gt;קריטריונים!$B$3),Dec!K65,"")</f>
        <v/>
      </c>
      <c r="B64" s="113" t="str">
        <f>IF(AND(ABS(Dec!J65)&gt;קריטריונים!$B$2,Dec!B65&gt;קריטריונים!$B$3),Dec!J65,"")</f>
        <v/>
      </c>
      <c r="C64" s="113" t="str">
        <f>IF(AND(ABS(Dec!F65)&gt;קריטריונים!$B$1,Dec!B65&gt;קריטריונים!$B$3),Dec!F65,"")</f>
        <v/>
      </c>
      <c r="D64" s="113" t="str">
        <f>IF(AND(ABS(Dec!E65)&gt;קריטריונים!$B$1,Dec!B65&gt;קריטריונים!$B$3),Dec!E65,"")</f>
        <v/>
      </c>
      <c r="E64" s="113">
        <f>IF(AND(ABS(Nov!K65)&gt;קריטריונים!$B$2,Nov!B65&gt;קריטריונים!$B$3),Nov!K65,"")</f>
        <v>1.2539009824696592</v>
      </c>
      <c r="F64" s="113">
        <f>IF(AND(ABS(Nov!J65)&gt;קריטריונים!$B$2,Nov!B65&gt;קריטריונים!$B$3),Nov!J65,"")</f>
        <v>0.62545151430953072</v>
      </c>
      <c r="G64" s="113">
        <f>IF(AND(ABS(Nov!F65)&gt;קריטריונים!$B$1,Nov!B65&gt;קריטריונים!$B$3),Nov!F65,"")</f>
        <v>2.1496062992125982</v>
      </c>
      <c r="H64" s="113">
        <f>IF(AND(ABS(Nov!E65)&gt;קריטריונים!$B$1,Nov!B65&gt;קריטריונים!$B$3),Nov!E65,"")</f>
        <v>0.59786950732356847</v>
      </c>
      <c r="I64" s="113" t="str">
        <f>IF(AND(ABS(Oct!K65)&gt;קריטריונים!$B$2,Oct!B65&gt;קריטריונים!$B$3),Oct!K65,"")</f>
        <v/>
      </c>
      <c r="J64" s="113" t="str">
        <f>IF(AND(ABS(Oct!J65)&gt;קריטריונים!$B$2,Oct!B65&gt;קריטריונים!$B$3),Oct!J65,"")</f>
        <v/>
      </c>
      <c r="K64" s="113" t="str">
        <f>IF(AND(ABS(Oct!F65)&gt;קריטריונים!$B$1,Oct!B65&gt;קריטריונים!$B$3),Oct!F65,"")</f>
        <v/>
      </c>
      <c r="L64" s="113" t="str">
        <f>IF(AND(ABS(Oct!E65)&gt;קריטריונים!$B$1,Oct!B65&gt;קריטריונים!$B$3),Oct!E65,"")</f>
        <v/>
      </c>
      <c r="M64" s="113" t="str">
        <f>IF(AND(ABS(Sep!K65)&gt;קריטריונים!$B$2,Sep!B65&gt;קריטריונים!$B$3),Sep!K65,"")</f>
        <v/>
      </c>
      <c r="N64" s="113" t="str">
        <f>IF(AND(ABS(Sep!J65)&gt;קריטריונים!$B$2,Sep!B65&gt;קריטריונים!$B$3),Sep!J65,"")</f>
        <v/>
      </c>
      <c r="O64" s="113" t="str">
        <f>IF(AND(ABS(Sep!F65)&gt;קריטריונים!$B$1,Sep!B65&gt;קריטריונים!$B$3),Sep!F65,"")</f>
        <v/>
      </c>
      <c r="P64" s="113" t="str">
        <f>IF(AND(ABS(Sep!E65)&gt;קריטריונים!$B$1,Sep!B65&gt;קריטריונים!$B$3),Sep!E65,"")</f>
        <v/>
      </c>
      <c r="Q64" s="113" t="str">
        <f>IF(AND(ABS(Aug!K65)&gt;קריטריונים!$B$2,Aug!B65&gt;קריטריונים!$B$3),Aug!K65,"")</f>
        <v/>
      </c>
      <c r="R64" s="113" t="str">
        <f>IF(AND(ABS(Aug!J65)&gt;קריטריונים!$B$2,Aug!B65&gt;קריטריונים!$B$3),Aug!J65,"")</f>
        <v/>
      </c>
      <c r="S64" s="113" t="str">
        <f>IF(AND(ABS(Aug!F65)&gt;קריטריונים!$B$1,Aug!B65&gt;קריטריונים!$B$3),Aug!F65,"")</f>
        <v/>
      </c>
      <c r="T64" s="113" t="str">
        <f>IF(AND(ABS(Aug!E65)&gt;קריטריונים!$B$1,Aug!B65&gt;קריטריונים!$B$3),Aug!E65,"")</f>
        <v/>
      </c>
      <c r="U64" s="113" t="str">
        <f>IF(AND(ABS(Jul!K65)&gt;קריטריונים!$B$2,Jul!B65&gt;קריטריונים!$B$3),Jul!K65,"")</f>
        <v/>
      </c>
      <c r="V64" s="113" t="str">
        <f>IF(AND(ABS(Jul!J65)&gt;קריטריונים!$B$2,Jul!B65&gt;קריטריונים!$B$3),Jul!J65,"")</f>
        <v/>
      </c>
      <c r="W64" s="113" t="str">
        <f>IF(AND(ABS(Jul!F65)&gt;קריטריונים!$B$1,Jul!B65&gt;קריטריונים!$B$3),Jul!F65,"")</f>
        <v/>
      </c>
      <c r="X64" s="113" t="str">
        <f>IF(AND(ABS(Jul!E65)&gt;קריטריונים!$B$1,Jul!B65&gt;קריטריונים!$B$3),Jul!E65,"")</f>
        <v/>
      </c>
      <c r="Y64" s="113" t="str">
        <f>IF(AND(ABS(Jun!K65)&gt;קריטריונים!$B$2,Jun!B65&gt;קריטריונים!$B$3),Jun!K65,"")</f>
        <v/>
      </c>
      <c r="Z64" s="113" t="str">
        <f>IF(AND(ABS(Jun!J65)&gt;קריטריונים!$B$2,Jun!B65&gt;קריטריונים!$B$3),Jun!J65,"")</f>
        <v/>
      </c>
      <c r="AA64" s="113" t="str">
        <f>IF(AND(ABS(Jun!F65)&gt;קריטריונים!$B$1,Jun!B65&gt;קריטריונים!$B$3),Jun!F65,"")</f>
        <v/>
      </c>
      <c r="AB64" s="113" t="str">
        <f>IF(AND(ABS(Jun!E65)&gt;קריטריונים!$B$1,Jun!B65&gt;קריטריונים!$B$3),Jun!E65,"")</f>
        <v/>
      </c>
      <c r="AC64" s="113" t="str">
        <f>IF(AND(ABS(May!K65)&gt;קריטריונים!$B$2,May!B65&gt;קריטריונים!$B$3),May!K65,"")</f>
        <v/>
      </c>
      <c r="AD64" s="113" t="str">
        <f>IF(AND(ABS(May!J65)&gt;קריטריונים!$B$2,May!B65&gt;קריטריונים!$B$3),May!J65,"")</f>
        <v/>
      </c>
      <c r="AE64" s="113" t="str">
        <f>IF(AND(ABS(May!F65)&gt;קריטריונים!$B$1,May!B65&gt;קריטריונים!$B$3),May!F65,"")</f>
        <v/>
      </c>
      <c r="AF64" s="113" t="str">
        <f>IF(AND(ABS(May!E65)&gt;קריטריונים!$B$1,May!B65&gt;קריטריונים!$B$3),May!E65,"")</f>
        <v/>
      </c>
      <c r="AG64" s="113" t="str">
        <f>IF(AND(ABS(Apr!K65)&gt;קריטריונים!$B$2,Apr!B65&gt;קריטריונים!$B$3),Apr!K65,"")</f>
        <v/>
      </c>
      <c r="AH64" s="113" t="str">
        <f>IF(AND(ABS(Apr!J65)&gt;קריטריונים!$B$2,Apr!B65&gt;קריטריונים!$B$3),Apr!J65,"")</f>
        <v/>
      </c>
      <c r="AI64" s="113" t="str">
        <f>IF(AND(ABS(Apr!F65)&gt;קריטריונים!$B$1,Apr!B65&gt;קריטריונים!$B$3),Apr!F65,"")</f>
        <v/>
      </c>
      <c r="AJ64" s="113" t="str">
        <f>IF(AND(ABS(Apr!E65)&gt;קריטריונים!$B$1,Apr!B65&gt;קריטריונים!$B$3),Apr!E65,"")</f>
        <v/>
      </c>
      <c r="AK64" s="113" t="str">
        <f>IF(AND(ABS(Mar!K65)&gt;קריטריונים!$B$2,Mar!B65&gt;קריטריונים!$B$3),Mar!K65,"")</f>
        <v/>
      </c>
      <c r="AL64" s="113" t="str">
        <f>IF(AND(ABS(Mar!J65)&gt;קריטריונים!$B$2,Mar!B65&gt;קריטריונים!$B$3),Mar!J65,"")</f>
        <v/>
      </c>
      <c r="AM64" s="113" t="str">
        <f>IF(AND(ABS(Mar!F65)&gt;קריטריונים!$B$1,Mar!B65&gt;קריטריונים!$B$3),Mar!F65,"")</f>
        <v/>
      </c>
      <c r="AN64" s="113" t="str">
        <f>IF(AND(ABS(Mar!E65)&gt;קריטריונים!$B$1,Mar!B65&gt;קריטריונים!$B$3),Mar!E65,"")</f>
        <v/>
      </c>
      <c r="AO64" s="113" t="str">
        <f>IF(AND(ABS(Feb!K65)&gt;קריטריונים!$B$2,Feb!B65&gt;קריטריונים!$B$3),Feb!K65,"")</f>
        <v/>
      </c>
      <c r="AP64" s="113" t="str">
        <f>IF(AND(ABS(Feb!J65)&gt;קריטריונים!$B$2,Feb!B65&gt;קריטריונים!$B$3),Feb!J65,"")</f>
        <v/>
      </c>
      <c r="AQ64" s="113" t="str">
        <f>IF(AND(ABS(Feb!F65)&gt;קריטריונים!$B$1,Feb!B65&gt;קריטריונים!$B$3),Feb!F65,"")</f>
        <v/>
      </c>
      <c r="AR64" s="113" t="str">
        <f>IF(AND(ABS(Feb!E65)&gt;קריטריונים!$B$1,Feb!B65&gt;קריטריונים!$B$3),Feb!E65,"")</f>
        <v/>
      </c>
      <c r="AS64" s="113" t="str">
        <f>IF(AND(ABS(Jan!F65)&gt;קריטריונים!$B$1,Jan!B65&gt;קריטריונים!$B$3),Jan!F65,"")</f>
        <v/>
      </c>
      <c r="AT64" s="103" t="str">
        <f>IF(AND(ABS(Jan!E65)&gt;קריטריונים!$B$1,Jan!B65&gt;קריטריונים!$B$3),Jan!E65,"")</f>
        <v/>
      </c>
      <c r="AU64" s="118" t="s">
        <v>53</v>
      </c>
      <c r="AV64" s="4"/>
    </row>
    <row r="65" spans="1:49">
      <c r="A65" s="112" t="str">
        <f>IF(AND(ABS(Dec!K66)&gt;קריטריונים!$B$2,Dec!B66&gt;קריטריונים!$B$3),Dec!K66,"")</f>
        <v/>
      </c>
      <c r="B65" s="113" t="str">
        <f>IF(AND(ABS(Dec!J66)&gt;קריטריונים!$B$2,Dec!B66&gt;קריטריונים!$B$3),Dec!J66,"")</f>
        <v/>
      </c>
      <c r="C65" s="113" t="str">
        <f>IF(AND(ABS(Dec!F66)&gt;קריטריונים!$B$1,Dec!B66&gt;קריטריונים!$B$3),Dec!F66,"")</f>
        <v/>
      </c>
      <c r="D65" s="113" t="str">
        <f>IF(AND(ABS(Dec!E66)&gt;קריטריונים!$B$1,Dec!B66&gt;קריטריונים!$B$3),Dec!E66,"")</f>
        <v/>
      </c>
      <c r="E65" s="113" t="str">
        <f>IF(AND(ABS(Nov!K66)&gt;קריטריונים!$B$2,Nov!B66&gt;קריטריונים!$B$3),Nov!K66,"")</f>
        <v/>
      </c>
      <c r="F65" s="113" t="str">
        <f>IF(AND(ABS(Nov!J66)&gt;קריטריונים!$B$2,Nov!B66&gt;קריטריונים!$B$3),Nov!J66,"")</f>
        <v/>
      </c>
      <c r="G65" s="113" t="str">
        <f>IF(AND(ABS(Nov!F66)&gt;קריטריונים!$B$1,Nov!B66&gt;קריטריונים!$B$3),Nov!F66,"")</f>
        <v/>
      </c>
      <c r="H65" s="113" t="str">
        <f>IF(AND(ABS(Nov!E66)&gt;קריטריונים!$B$1,Nov!B66&gt;קריטריונים!$B$3),Nov!E66,"")</f>
        <v/>
      </c>
      <c r="I65" s="113" t="str">
        <f>IF(AND(ABS(Oct!K66)&gt;קריטריונים!$B$2,Oct!B66&gt;קריטריונים!$B$3),Oct!K66,"")</f>
        <v/>
      </c>
      <c r="J65" s="113" t="str">
        <f>IF(AND(ABS(Oct!J66)&gt;קריטריונים!$B$2,Oct!B66&gt;קריטריונים!$B$3),Oct!J66,"")</f>
        <v/>
      </c>
      <c r="K65" s="113" t="str">
        <f>IF(AND(ABS(Oct!F66)&gt;קריטריונים!$B$1,Oct!B66&gt;קריטריונים!$B$3),Oct!F66,"")</f>
        <v/>
      </c>
      <c r="L65" s="113" t="str">
        <f>IF(AND(ABS(Oct!E66)&gt;קריטריונים!$B$1,Oct!B66&gt;קריטריונים!$B$3),Oct!E66,"")</f>
        <v/>
      </c>
      <c r="M65" s="113" t="str">
        <f>IF(AND(ABS(Sep!K66)&gt;קריטריונים!$B$2,Sep!B66&gt;קריטריונים!$B$3),Sep!K66,"")</f>
        <v/>
      </c>
      <c r="N65" s="113" t="str">
        <f>IF(AND(ABS(Sep!J66)&gt;קריטריונים!$B$2,Sep!B66&gt;קריטריונים!$B$3),Sep!J66,"")</f>
        <v/>
      </c>
      <c r="O65" s="113" t="str">
        <f>IF(AND(ABS(Sep!F66)&gt;קריטריונים!$B$1,Sep!B66&gt;קריטריונים!$B$3),Sep!F66,"")</f>
        <v/>
      </c>
      <c r="P65" s="113" t="str">
        <f>IF(AND(ABS(Sep!E66)&gt;קריטריונים!$B$1,Sep!B66&gt;קריטריונים!$B$3),Sep!E66,"")</f>
        <v/>
      </c>
      <c r="Q65" s="113" t="str">
        <f>IF(AND(ABS(Aug!K66)&gt;קריטריונים!$B$2,Aug!B66&gt;קריטריונים!$B$3),Aug!K66,"")</f>
        <v/>
      </c>
      <c r="R65" s="113" t="str">
        <f>IF(AND(ABS(Aug!J66)&gt;קריטריונים!$B$2,Aug!B66&gt;קריטריונים!$B$3),Aug!J66,"")</f>
        <v/>
      </c>
      <c r="S65" s="113" t="str">
        <f>IF(AND(ABS(Aug!F66)&gt;קריטריונים!$B$1,Aug!B66&gt;קריטריונים!$B$3),Aug!F66,"")</f>
        <v/>
      </c>
      <c r="T65" s="113" t="str">
        <f>IF(AND(ABS(Aug!E66)&gt;קריטריונים!$B$1,Aug!B66&gt;קריטריונים!$B$3),Aug!E66,"")</f>
        <v/>
      </c>
      <c r="U65" s="113" t="str">
        <f>IF(AND(ABS(Jul!K66)&gt;קריטריונים!$B$2,Jul!B66&gt;קריטריונים!$B$3),Jul!K66,"")</f>
        <v/>
      </c>
      <c r="V65" s="113" t="str">
        <f>IF(AND(ABS(Jul!J66)&gt;קריטריונים!$B$2,Jul!B66&gt;קריטריונים!$B$3),Jul!J66,"")</f>
        <v/>
      </c>
      <c r="W65" s="113" t="str">
        <f>IF(AND(ABS(Jul!F66)&gt;קריטריונים!$B$1,Jul!B66&gt;קריטריונים!$B$3),Jul!F66,"")</f>
        <v/>
      </c>
      <c r="X65" s="113" t="str">
        <f>IF(AND(ABS(Jul!E66)&gt;קריטריונים!$B$1,Jul!B66&gt;קריטריונים!$B$3),Jul!E66,"")</f>
        <v/>
      </c>
      <c r="Y65" s="113" t="str">
        <f>IF(AND(ABS(Jun!K66)&gt;קריטריונים!$B$2,Jun!B66&gt;קריטריונים!$B$3),Jun!K66,"")</f>
        <v/>
      </c>
      <c r="Z65" s="113" t="str">
        <f>IF(AND(ABS(Jun!J66)&gt;קריטריונים!$B$2,Jun!B66&gt;קריטריונים!$B$3),Jun!J66,"")</f>
        <v/>
      </c>
      <c r="AA65" s="113" t="str">
        <f>IF(AND(ABS(Jun!F66)&gt;קריטריונים!$B$1,Jun!B66&gt;קריטריונים!$B$3),Jun!F66,"")</f>
        <v/>
      </c>
      <c r="AB65" s="113" t="str">
        <f>IF(AND(ABS(Jun!E66)&gt;קריטריונים!$B$1,Jun!B66&gt;קריטריונים!$B$3),Jun!E66,"")</f>
        <v/>
      </c>
      <c r="AC65" s="113" t="str">
        <f>IF(AND(ABS(May!K66)&gt;קריטריונים!$B$2,May!B66&gt;קריטריונים!$B$3),May!K66,"")</f>
        <v/>
      </c>
      <c r="AD65" s="113" t="str">
        <f>IF(AND(ABS(May!J66)&gt;קריטריונים!$B$2,May!B66&gt;קריטריונים!$B$3),May!J66,"")</f>
        <v/>
      </c>
      <c r="AE65" s="113" t="str">
        <f>IF(AND(ABS(May!F66)&gt;קריטריונים!$B$1,May!B66&gt;קריטריונים!$B$3),May!F66,"")</f>
        <v/>
      </c>
      <c r="AF65" s="113" t="str">
        <f>IF(AND(ABS(May!E66)&gt;קריטריונים!$B$1,May!B66&gt;קריטריונים!$B$3),May!E66,"")</f>
        <v/>
      </c>
      <c r="AG65" s="113" t="str">
        <f>IF(AND(ABS(Apr!K66)&gt;קריטריונים!$B$2,Apr!B66&gt;קריטריונים!$B$3),Apr!K66,"")</f>
        <v/>
      </c>
      <c r="AH65" s="113" t="str">
        <f>IF(AND(ABS(Apr!J66)&gt;קריטריונים!$B$2,Apr!B66&gt;קריטריונים!$B$3),Apr!J66,"")</f>
        <v/>
      </c>
      <c r="AI65" s="113" t="str">
        <f>IF(AND(ABS(Apr!F66)&gt;קריטריונים!$B$1,Apr!B66&gt;קריטריונים!$B$3),Apr!F66,"")</f>
        <v/>
      </c>
      <c r="AJ65" s="113" t="str">
        <f>IF(AND(ABS(Apr!E66)&gt;קריטריונים!$B$1,Apr!B66&gt;קריטריונים!$B$3),Apr!E66,"")</f>
        <v/>
      </c>
      <c r="AK65" s="113" t="str">
        <f>IF(AND(ABS(Mar!K66)&gt;קריטריונים!$B$2,Mar!B66&gt;קריטריונים!$B$3),Mar!K66,"")</f>
        <v/>
      </c>
      <c r="AL65" s="113" t="str">
        <f>IF(AND(ABS(Mar!J66)&gt;קריטריונים!$B$2,Mar!B66&gt;קריטריונים!$B$3),Mar!J66,"")</f>
        <v/>
      </c>
      <c r="AM65" s="113" t="str">
        <f>IF(AND(ABS(Mar!F66)&gt;קריטריונים!$B$1,Mar!B66&gt;קריטריונים!$B$3),Mar!F66,"")</f>
        <v/>
      </c>
      <c r="AN65" s="113" t="str">
        <f>IF(AND(ABS(Mar!E66)&gt;קריטריונים!$B$1,Mar!B66&gt;קריטריונים!$B$3),Mar!E66,"")</f>
        <v/>
      </c>
      <c r="AO65" s="113" t="str">
        <f>IF(AND(ABS(Feb!K66)&gt;קריטריונים!$B$2,Feb!B66&gt;קריטריונים!$B$3),Feb!K66,"")</f>
        <v/>
      </c>
      <c r="AP65" s="113" t="str">
        <f>IF(AND(ABS(Feb!J66)&gt;קריטריונים!$B$2,Feb!B66&gt;קריטריונים!$B$3),Feb!J66,"")</f>
        <v/>
      </c>
      <c r="AQ65" s="113" t="str">
        <f>IF(AND(ABS(Feb!F66)&gt;קריטריונים!$B$1,Feb!B66&gt;קריטריונים!$B$3),Feb!F66,"")</f>
        <v/>
      </c>
      <c r="AR65" s="113" t="str">
        <f>IF(AND(ABS(Feb!E66)&gt;קריטריונים!$B$1,Feb!B66&gt;קריטריונים!$B$3),Feb!E66,"")</f>
        <v/>
      </c>
      <c r="AS65" s="113" t="str">
        <f>IF(AND(ABS(Jan!F66)&gt;קריטריונים!$B$1,Jan!B66&gt;קריטריונים!$B$3),Jan!F66,"")</f>
        <v/>
      </c>
      <c r="AT65" s="103" t="str">
        <f>IF(AND(ABS(Jan!E66)&gt;קריטריונים!$B$1,Jan!B66&gt;קריטריונים!$B$3),Jan!E66,"")</f>
        <v/>
      </c>
      <c r="AU65" s="119"/>
      <c r="AV65" s="4"/>
    </row>
    <row r="66" spans="1:49">
      <c r="A66" s="112" t="str">
        <f>IF(AND(ABS(Dec!K67)&gt;קריטריונים!$B$2,Dec!B67&gt;קריטריונים!$B$3),Dec!K67,"")</f>
        <v/>
      </c>
      <c r="B66" s="113" t="str">
        <f>IF(AND(ABS(Dec!J67)&gt;קריטריונים!$B$2,Dec!B67&gt;קריטריונים!$B$3),Dec!J67,"")</f>
        <v/>
      </c>
      <c r="C66" s="113" t="str">
        <f>IF(AND(ABS(Dec!F67)&gt;קריטריונים!$B$1,Dec!B67&gt;קריטריונים!$B$3),Dec!F67,"")</f>
        <v/>
      </c>
      <c r="D66" s="113" t="str">
        <f>IF(AND(ABS(Dec!E67)&gt;קריטריונים!$B$1,Dec!B67&gt;קריטריונים!$B$3),Dec!E67,"")</f>
        <v/>
      </c>
      <c r="E66" s="113">
        <f>IF(AND(ABS(Nov!K67)&gt;קריטריונים!$B$2,Nov!B67&gt;קריטריונים!$B$3),Nov!K67,"")</f>
        <v>0.55156067677946319</v>
      </c>
      <c r="F66" s="113">
        <f>IF(AND(ABS(Nov!J67)&gt;קריטריונים!$B$2,Nov!B67&gt;קריטריונים!$B$3),Nov!J67,"")</f>
        <v>0.79934453959192275</v>
      </c>
      <c r="G66" s="113">
        <f>IF(AND(ABS(Nov!F67)&gt;קריטריונים!$B$1,Nov!B67&gt;קריטריונים!$B$3),Nov!F67,"")</f>
        <v>3.0919637207340225</v>
      </c>
      <c r="H66" s="113">
        <f>IF(AND(ABS(Nov!E67)&gt;קריטריונים!$B$1,Nov!B67&gt;קריטריונים!$B$3),Nov!E67,"")</f>
        <v>1.9942892421670009</v>
      </c>
      <c r="I66" s="113">
        <f>IF(AND(ABS(Oct!K67)&gt;קריטריונים!$B$2,Oct!B67&gt;קריטריונים!$B$3),Oct!K67,"")</f>
        <v>0.31119404474424739</v>
      </c>
      <c r="J66" s="113">
        <f>IF(AND(ABS(Oct!J67)&gt;קריטריונים!$B$2,Oct!B67&gt;קריטריונים!$B$3),Oct!J67,"")</f>
        <v>0.60966287730301838</v>
      </c>
      <c r="K66" s="113">
        <f>IF(AND(ABS(Oct!F67)&gt;קריטריונים!$B$1,Oct!B67&gt;קריטריונים!$B$3),Oct!F67,"")</f>
        <v>0.89720593308037255</v>
      </c>
      <c r="L66" s="113">
        <f>IF(AND(ABS(Oct!E67)&gt;קריטריונים!$B$1,Oct!B67&gt;קריטריונים!$B$3),Oct!E67,"")</f>
        <v>1.4515266324938709</v>
      </c>
      <c r="M66" s="113">
        <f>IF(AND(ABS(Sep!K67)&gt;קריטריונים!$B$2,Sep!B67&gt;קריטריונים!$B$3),Sep!K67,"")</f>
        <v>0.23451217585592099</v>
      </c>
      <c r="N66" s="113">
        <f>IF(AND(ABS(Sep!J67)&gt;קריטריונים!$B$2,Sep!B67&gt;קריטריונים!$B$3),Sep!J67,"")</f>
        <v>0.50568416416636852</v>
      </c>
      <c r="O66" s="113">
        <f>IF(AND(ABS(Sep!F67)&gt;קריטריונים!$B$1,Sep!B67&gt;קריטריונים!$B$3),Sep!F67,"")</f>
        <v>0.70830664104206709</v>
      </c>
      <c r="P66" s="113">
        <f>IF(AND(ABS(Sep!E67)&gt;קריטריונים!$B$1,Sep!B67&gt;קריטריונים!$B$3),Sep!E67,"")</f>
        <v>0.70321481796891638</v>
      </c>
      <c r="Q66" s="113">
        <f>IF(AND(ABS(Aug!K67)&gt;קריטריונים!$B$2,Aug!B67&gt;קריטריונים!$B$3),Aug!K67,"")</f>
        <v>0.1785191540907487</v>
      </c>
      <c r="R66" s="113">
        <f>IF(AND(ABS(Aug!J67)&gt;קריטריונים!$B$2,Aug!B67&gt;קריטריונים!$B$3),Aug!J67,"")</f>
        <v>0.47635306019221058</v>
      </c>
      <c r="S66" s="113">
        <f>IF(AND(ABS(Aug!F67)&gt;קריטריונים!$B$1,Aug!B67&gt;קריטריונים!$B$3),Aug!F67,"")</f>
        <v>0.46259924780610118</v>
      </c>
      <c r="T66" s="113">
        <f>IF(AND(ABS(Aug!E67)&gt;קריטריונים!$B$1,Aug!B67&gt;קריטריונים!$B$3),Aug!E67,"")</f>
        <v>0.60403299725022919</v>
      </c>
      <c r="U66" s="113">
        <f>IF(AND(ABS(Jul!K67)&gt;קריטריונים!$B$2,Jul!B67&gt;קריטריונים!$B$3),Jul!K67,"")</f>
        <v>9.0193307424418556E-2</v>
      </c>
      <c r="V66" s="113">
        <f>IF(AND(ABS(Jul!J67)&gt;קריטריונים!$B$2,Jul!B67&gt;קריטריונים!$B$3),Jul!J67,"")</f>
        <v>0.46689303904923607</v>
      </c>
      <c r="W66" s="113">
        <f>IF(AND(ABS(Jul!F67)&gt;קריטריונים!$B$1,Jul!B67&gt;קריטריונים!$B$3),Jul!F67,"")</f>
        <v>0.67954316425932149</v>
      </c>
      <c r="X66" s="113">
        <f>IF(AND(ABS(Jul!E67)&gt;קריטריונים!$B$1,Jul!B67&gt;קריטריונים!$B$3),Jul!E67,"")</f>
        <v>1.254283137962128</v>
      </c>
      <c r="Y66" s="113">
        <f>IF(AND(ABS(Jun!K67)&gt;קריטריונים!$B$2,Jun!B67&gt;קריטריונים!$B$3),Jun!K67,"")</f>
        <v>-4.6263700596709256E-2</v>
      </c>
      <c r="Z66" s="113">
        <f>IF(AND(ABS(Jun!J67)&gt;קריטריונים!$B$2,Jun!B67&gt;קריטריונים!$B$3),Jun!J67,"")</f>
        <v>0.40276145710928324</v>
      </c>
      <c r="AA66" s="113">
        <f>IF(AND(ABS(Jun!F67)&gt;קריטריונים!$B$1,Jun!B67&gt;קריטריונים!$B$3),Jun!F67,"")</f>
        <v>0.41562853907134767</v>
      </c>
      <c r="AB66" s="113">
        <f>IF(AND(ABS(Jun!E67)&gt;קריטריונים!$B$1,Jun!B67&gt;קריטריונים!$B$3),Jun!E67,"")</f>
        <v>0.73852573018080681</v>
      </c>
      <c r="AC66" s="113">
        <f>IF(AND(ABS(May!K67)&gt;קריטריונים!$B$2,May!B67&gt;קריטריונים!$B$3),May!K67,"")</f>
        <v>8.0588465043614388E-2</v>
      </c>
      <c r="AD66" s="113">
        <f>IF(AND(ABS(May!J67)&gt;קריטריונים!$B$2,May!B67&gt;קריטריונים!$B$3),May!J67,"")</f>
        <v>0.36311381179175584</v>
      </c>
      <c r="AE66" s="113">
        <f>IF(AND(ABS(May!F67)&gt;קריטריונים!$B$1,May!B67&gt;קריטריונים!$B$3),May!F67,"")</f>
        <v>0.1134307585247043</v>
      </c>
      <c r="AF66" s="113">
        <f>IF(AND(ABS(May!E67)&gt;קריטריונים!$B$1,May!B67&gt;קריטריונים!$B$3),May!E67,"")</f>
        <v>0.27931769722814503</v>
      </c>
      <c r="AG66" s="113">
        <f>IF(AND(ABS(Apr!K67)&gt;קריטריונים!$B$2,Apr!B67&gt;קריטריונים!$B$3),Apr!K67,"")</f>
        <v>7.5228107371370312E-2</v>
      </c>
      <c r="AH66" s="113">
        <f>IF(AND(ABS(Apr!J67)&gt;קריטריונים!$B$2,Apr!B67&gt;קריטריונים!$B$3),Apr!J67,"")</f>
        <v>0.37837313143079032</v>
      </c>
      <c r="AI66" s="113">
        <f>IF(AND(ABS(Apr!F67)&gt;קריטריונים!$B$1,Apr!B67&gt;קריטריונים!$B$3),Apr!F67,"")</f>
        <v>-0.12980420594633779</v>
      </c>
      <c r="AJ66" s="113">
        <f>IF(AND(ABS(Apr!E67)&gt;קריטריונים!$B$1,Apr!B67&gt;קריטריונים!$B$3),Apr!E67,"")</f>
        <v>0.34053248929435842</v>
      </c>
      <c r="AK66" s="113">
        <f>IF(AND(ABS(Mar!K67)&gt;קריטריונים!$B$2,Mar!B67&gt;קריטריונים!$B$3),Mar!K67,"")</f>
        <v>0.1687524119300956</v>
      </c>
      <c r="AL66" s="113">
        <f>IF(AND(ABS(Mar!J67)&gt;קריטריונים!$B$2,Mar!B67&gt;קריטריונים!$B$3),Mar!J67,"")</f>
        <v>0.39171535482176867</v>
      </c>
      <c r="AM66" s="113">
        <f>IF(AND(ABS(Mar!F67)&gt;קריטריונים!$B$1,Mar!B67&gt;קריטריונים!$B$3),Mar!F67,"")</f>
        <v>0.25810890505209372</v>
      </c>
      <c r="AN66" s="113">
        <f>IF(AND(ABS(Mar!E67)&gt;קריטריונים!$B$1,Mar!B67&gt;קריטריונים!$B$3),Mar!E67,"")</f>
        <v>0.59402241594022431</v>
      </c>
      <c r="AO66" s="113">
        <f>IF(AND(ABS(Feb!K67)&gt;קריטריונים!$B$2,Feb!B67&gt;קריטריונים!$B$3),Feb!K67,"")</f>
        <v>0.13392583512105438</v>
      </c>
      <c r="AP66" s="113">
        <f>IF(AND(ABS(Feb!J67)&gt;קריטריונים!$B$2,Feb!B67&gt;קריטריונים!$B$3),Feb!J67,"")</f>
        <v>0.31930825459083612</v>
      </c>
      <c r="AQ66" s="113">
        <f>IF(AND(ABS(Feb!F67)&gt;קריטריונים!$B$1,Feb!B67&gt;קריטריונים!$B$3),Feb!F67,"")</f>
        <v>-8.7127339958400718E-2</v>
      </c>
      <c r="AR66" s="113">
        <f>IF(AND(ABS(Feb!E67)&gt;קריטריונים!$B$1,Feb!B67&gt;קריטריונים!$B$3),Feb!E67,"")</f>
        <v>1.7516743946419444E-2</v>
      </c>
      <c r="AS66" s="113">
        <f>IF(AND(ABS(Jan!F67)&gt;קריטריונים!$B$1,Jan!B67&gt;קריטריונים!$B$3),Jan!F67,"")</f>
        <v>0.56889495225102338</v>
      </c>
      <c r="AT66" s="103">
        <f>IF(AND(ABS(Jan!E67)&gt;קריטריונים!$B$1,Jan!B67&gt;קריטריונים!$B$3),Jan!E67,"")</f>
        <v>0.99768384481760286</v>
      </c>
      <c r="AU66" s="118" t="s">
        <v>54</v>
      </c>
      <c r="AV66" s="4"/>
    </row>
    <row r="67" spans="1:49">
      <c r="A67" s="112" t="str">
        <f>IF(AND(ABS(Dec!K68)&gt;קריטריונים!$B$2,Dec!B68&gt;קריטריונים!$B$3),Dec!K68,"")</f>
        <v/>
      </c>
      <c r="B67" s="113" t="str">
        <f>IF(AND(ABS(Dec!J68)&gt;קריטריונים!$B$2,Dec!B68&gt;קריטריונים!$B$3),Dec!J68,"")</f>
        <v/>
      </c>
      <c r="C67" s="113" t="str">
        <f>IF(AND(ABS(Dec!F68)&gt;קריטריונים!$B$1,Dec!B68&gt;קריטריונים!$B$3),Dec!F68,"")</f>
        <v/>
      </c>
      <c r="D67" s="113" t="str">
        <f>IF(AND(ABS(Dec!E68)&gt;קריטריונים!$B$1,Dec!B68&gt;קריטריונים!$B$3),Dec!E68,"")</f>
        <v/>
      </c>
      <c r="E67" s="113">
        <f>IF(AND(ABS(Nov!K68)&gt;קריטריונים!$B$2,Nov!B68&gt;קריטריונים!$B$3),Nov!K68,"")</f>
        <v>0.36453526697429139</v>
      </c>
      <c r="F67" s="113">
        <f>IF(AND(ABS(Nov!J68)&gt;קריטריונים!$B$2,Nov!B68&gt;קריטריונים!$B$3),Nov!J68,"")</f>
        <v>0.36399578281497114</v>
      </c>
      <c r="G67" s="113">
        <f>IF(AND(ABS(Nov!F68)&gt;קריטריונים!$B$1,Nov!B68&gt;קריטריונים!$B$3),Nov!F68,"")</f>
        <v>0.86142709410548091</v>
      </c>
      <c r="H67" s="113">
        <f>IF(AND(ABS(Nov!E68)&gt;קריטריונים!$B$1,Nov!B68&gt;קריטריונים!$B$3),Nov!E68,"")</f>
        <v>0.35440180586907455</v>
      </c>
      <c r="I67" s="113">
        <f>IF(AND(ABS(Oct!K68)&gt;קריטריונים!$B$2,Oct!B68&gt;קריטריונים!$B$3),Oct!K68,"")</f>
        <v>0.29193109700815945</v>
      </c>
      <c r="J67" s="113">
        <f>IF(AND(ABS(Oct!J68)&gt;קריטריונים!$B$2,Oct!B68&gt;קריטריונים!$B$3),Oct!J68,"")</f>
        <v>0.36603291260584747</v>
      </c>
      <c r="K67" s="113">
        <f>IF(AND(ABS(Oct!F68)&gt;קריטריונים!$B$1,Oct!B68&gt;קריטריונים!$B$3),Oct!F68,"")</f>
        <v>0.49330587023686912</v>
      </c>
      <c r="L67" s="113">
        <f>IF(AND(ABS(Oct!E68)&gt;קריטריונים!$B$1,Oct!B68&gt;קריטריונים!$B$3),Oct!E68,"")</f>
        <v>1.1386430678466075</v>
      </c>
      <c r="M67" s="113" t="str">
        <f>IF(AND(ABS(Sep!K68)&gt;קריטריונים!$B$2,Sep!B68&gt;קריטריונים!$B$3),Sep!K68,"")</f>
        <v/>
      </c>
      <c r="N67" s="113" t="str">
        <f>IF(AND(ABS(Sep!J68)&gt;קריטריונים!$B$2,Sep!B68&gt;קריטריונים!$B$3),Sep!J68,"")</f>
        <v/>
      </c>
      <c r="O67" s="113" t="str">
        <f>IF(AND(ABS(Sep!F68)&gt;קריטריונים!$B$1,Sep!B68&gt;קריטריונים!$B$3),Sep!F68,"")</f>
        <v/>
      </c>
      <c r="P67" s="113" t="str">
        <f>IF(AND(ABS(Sep!E68)&gt;קריטריונים!$B$1,Sep!B68&gt;קריטריונים!$B$3),Sep!E68,"")</f>
        <v/>
      </c>
      <c r="Q67" s="113" t="str">
        <f>IF(AND(ABS(Aug!K68)&gt;קריטריונים!$B$2,Aug!B68&gt;קריטריונים!$B$3),Aug!K68,"")</f>
        <v/>
      </c>
      <c r="R67" s="113" t="str">
        <f>IF(AND(ABS(Aug!J68)&gt;קריטריונים!$B$2,Aug!B68&gt;קריטריונים!$B$3),Aug!J68,"")</f>
        <v/>
      </c>
      <c r="S67" s="113" t="str">
        <f>IF(AND(ABS(Aug!F68)&gt;קריטריונים!$B$1,Aug!B68&gt;קריטריונים!$B$3),Aug!F68,"")</f>
        <v/>
      </c>
      <c r="T67" s="113" t="str">
        <f>IF(AND(ABS(Aug!E68)&gt;קריטריונים!$B$1,Aug!B68&gt;קריטריונים!$B$3),Aug!E68,"")</f>
        <v/>
      </c>
      <c r="U67" s="113" t="str">
        <f>IF(AND(ABS(Jul!K68)&gt;קריטריונים!$B$2,Jul!B68&gt;קריטריונים!$B$3),Jul!K68,"")</f>
        <v/>
      </c>
      <c r="V67" s="113" t="str">
        <f>IF(AND(ABS(Jul!J68)&gt;קריטריונים!$B$2,Jul!B68&gt;קריטריונים!$B$3),Jul!J68,"")</f>
        <v/>
      </c>
      <c r="W67" s="113" t="str">
        <f>IF(AND(ABS(Jul!F68)&gt;קריטריונים!$B$1,Jul!B68&gt;קריטריונים!$B$3),Jul!F68,"")</f>
        <v/>
      </c>
      <c r="X67" s="113" t="str">
        <f>IF(AND(ABS(Jul!E68)&gt;קריטריונים!$B$1,Jul!B68&gt;קריטריונים!$B$3),Jul!E68,"")</f>
        <v/>
      </c>
      <c r="Y67" s="113">
        <f>IF(AND(ABS(Jun!K68)&gt;קריטריונים!$B$2,Jun!B68&gt;קריטריונים!$B$3),Jun!K68,"")</f>
        <v>0.20888062303847477</v>
      </c>
      <c r="Z67" s="113">
        <f>IF(AND(ABS(Jun!J68)&gt;קריטריונים!$B$2,Jun!B68&gt;קריטריונים!$B$3),Jun!J68,"")</f>
        <v>0.28776622090143644</v>
      </c>
      <c r="AA67" s="113">
        <f>IF(AND(ABS(Jun!F68)&gt;קריטריונים!$B$1,Jun!B68&gt;קריטריונים!$B$3),Jun!F68,"")</f>
        <v>0.26488095238095233</v>
      </c>
      <c r="AB67" s="113">
        <f>IF(AND(ABS(Jun!E68)&gt;קריטריונים!$B$1,Jun!B68&gt;קריטריונים!$B$3),Jun!E68,"")</f>
        <v>0.37318255250403864</v>
      </c>
      <c r="AC67" s="113">
        <f>IF(AND(ABS(May!K68)&gt;קריטריונים!$B$2,May!B68&gt;קריטריונים!$B$3),May!K68,"")</f>
        <v>0.2512584495901049</v>
      </c>
      <c r="AD67" s="113">
        <f>IF(AND(ABS(May!J68)&gt;קריטריונים!$B$2,May!B68&gt;קריטריונים!$B$3),May!J68,"")</f>
        <v>0.272301842644048</v>
      </c>
      <c r="AE67" s="113">
        <f>IF(AND(ABS(May!F68)&gt;קריטריונים!$B$1,May!B68&gt;קריטריונים!$B$3),May!F68,"")</f>
        <v>0.14068441064638781</v>
      </c>
      <c r="AF67" s="113">
        <f>IF(AND(ABS(May!E68)&gt;קריטריונים!$B$1,May!B68&gt;קריטריונים!$B$3),May!E68,"")</f>
        <v>0.43198090692124125</v>
      </c>
      <c r="AG67" s="113" t="str">
        <f>IF(AND(ABS(Apr!K68)&gt;קריטריונים!$B$2,Apr!B68&gt;קריטריונים!$B$3),Apr!K68,"")</f>
        <v/>
      </c>
      <c r="AH67" s="113" t="str">
        <f>IF(AND(ABS(Apr!J68)&gt;קריטריונים!$B$2,Apr!B68&gt;קריטריונים!$B$3),Apr!J68,"")</f>
        <v/>
      </c>
      <c r="AI67" s="113" t="str">
        <f>IF(AND(ABS(Apr!F68)&gt;קריטריונים!$B$1,Apr!B68&gt;קריטריונים!$B$3),Apr!F68,"")</f>
        <v/>
      </c>
      <c r="AJ67" s="113" t="str">
        <f>IF(AND(ABS(Apr!E68)&gt;קריטריונים!$B$1,Apr!B68&gt;קריטריונים!$B$3),Apr!E68,"")</f>
        <v/>
      </c>
      <c r="AK67" s="113">
        <f>IF(AND(ABS(Mar!K68)&gt;קריטריונים!$B$2,Mar!B68&gt;קריטריונים!$B$3),Mar!K68,"")</f>
        <v>0.40562248995983929</v>
      </c>
      <c r="AL67" s="113">
        <f>IF(AND(ABS(Mar!J68)&gt;קריטריונים!$B$2,Mar!B68&gt;קריטריונים!$B$3),Mar!J68,"")</f>
        <v>0.24666073018699897</v>
      </c>
      <c r="AM67" s="113">
        <f>IF(AND(ABS(Mar!F68)&gt;קריטריונים!$B$1,Mar!B68&gt;קריטריונים!$B$3),Mar!F68,"")</f>
        <v>0.5862524785194978</v>
      </c>
      <c r="AN67" s="113">
        <f>IF(AND(ABS(Mar!E68)&gt;קריטריונים!$B$1,Mar!B68&gt;קריטריונים!$B$3),Mar!E68,"")</f>
        <v>0.28893662728249181</v>
      </c>
      <c r="AO67" s="113">
        <f>IF(AND(ABS(Feb!K68)&gt;קריטריונים!$B$2,Feb!B68&gt;קריטריונים!$B$3),Feb!K68,"")</f>
        <v>0.29502225819506278</v>
      </c>
      <c r="AP67" s="113">
        <f>IF(AND(ABS(Feb!J68)&gt;קריטריונים!$B$2,Feb!B68&gt;קריטריונים!$B$3),Feb!J68,"")</f>
        <v>0.21673003802281388</v>
      </c>
      <c r="AQ67" s="113">
        <f>IF(AND(ABS(Feb!F68)&gt;קריטריונים!$B$1,Feb!B68&gt;קריטריונים!$B$3),Feb!F68,"")</f>
        <v>0.18577075098814233</v>
      </c>
      <c r="AR67" s="113">
        <f>IF(AND(ABS(Feb!E68)&gt;קריטריונים!$B$1,Feb!B68&gt;קריטריונים!$B$3),Feb!E68,"")</f>
        <v>0.12852664576802519</v>
      </c>
      <c r="AS67" s="113" t="str">
        <f>IF(AND(ABS(Jan!F68)&gt;קריטריונים!$B$1,Jan!B68&gt;קריטריונים!$B$3),Jan!F68,"")</f>
        <v/>
      </c>
      <c r="AT67" s="103" t="str">
        <f>IF(AND(ABS(Jan!E68)&gt;קריטריונים!$B$1,Jan!B68&gt;קריטריונים!$B$3),Jan!E68,"")</f>
        <v/>
      </c>
      <c r="AU67" s="118" t="s">
        <v>55</v>
      </c>
      <c r="AV67" s="4"/>
    </row>
    <row r="68" spans="1:49">
      <c r="A68" s="112" t="str">
        <f>IF(AND(ABS(Dec!K69)&gt;קריטריונים!$B$2,Dec!B69&gt;קריטריונים!$B$3),Dec!K69,"")</f>
        <v/>
      </c>
      <c r="B68" s="113" t="str">
        <f>IF(AND(ABS(Dec!J69)&gt;קריטריונים!$B$2,Dec!B69&gt;קריטריונים!$B$3),Dec!J69,"")</f>
        <v/>
      </c>
      <c r="C68" s="113" t="str">
        <f>IF(AND(ABS(Dec!F69)&gt;קריטריונים!$B$1,Dec!B69&gt;קריטריונים!$B$3),Dec!F69,"")</f>
        <v/>
      </c>
      <c r="D68" s="113" t="str">
        <f>IF(AND(ABS(Dec!E69)&gt;קריטריונים!$B$1,Dec!B69&gt;קריטריונים!$B$3),Dec!E69,"")</f>
        <v/>
      </c>
      <c r="E68" s="113" t="str">
        <f>IF(AND(ABS(Nov!K69)&gt;קריטריונים!$B$2,Nov!B69&gt;קריטריונים!$B$3),Nov!K69,"")</f>
        <v/>
      </c>
      <c r="F68" s="113" t="str">
        <f>IF(AND(ABS(Nov!J69)&gt;קריטריונים!$B$2,Nov!B69&gt;קריטריונים!$B$3),Nov!J69,"")</f>
        <v/>
      </c>
      <c r="G68" s="113" t="str">
        <f>IF(AND(ABS(Nov!F69)&gt;קריטריונים!$B$1,Nov!B69&gt;קריטריונים!$B$3),Nov!F69,"")</f>
        <v/>
      </c>
      <c r="H68" s="113" t="str">
        <f>IF(AND(ABS(Nov!E69)&gt;קריטריונים!$B$1,Nov!B69&gt;קריטריונים!$B$3),Nov!E69,"")</f>
        <v/>
      </c>
      <c r="I68" s="113" t="str">
        <f>IF(AND(ABS(Oct!K69)&gt;קריטריונים!$B$2,Oct!B69&gt;קריטריונים!$B$3),Oct!K69,"")</f>
        <v/>
      </c>
      <c r="J68" s="113" t="str">
        <f>IF(AND(ABS(Oct!J69)&gt;קריטריונים!$B$2,Oct!B69&gt;קריטריונים!$B$3),Oct!J69,"")</f>
        <v/>
      </c>
      <c r="K68" s="113" t="str">
        <f>IF(AND(ABS(Oct!F69)&gt;קריטריונים!$B$1,Oct!B69&gt;קריטריונים!$B$3),Oct!F69,"")</f>
        <v/>
      </c>
      <c r="L68" s="113" t="str">
        <f>IF(AND(ABS(Oct!E69)&gt;קריטריונים!$B$1,Oct!B69&gt;קריטריונים!$B$3),Oct!E69,"")</f>
        <v/>
      </c>
      <c r="M68" s="113" t="str">
        <f>IF(AND(ABS(Sep!K69)&gt;קריטריונים!$B$2,Sep!B69&gt;קריטריונים!$B$3),Sep!K69,"")</f>
        <v/>
      </c>
      <c r="N68" s="113" t="str">
        <f>IF(AND(ABS(Sep!J69)&gt;קריטריונים!$B$2,Sep!B69&gt;קריטריונים!$B$3),Sep!J69,"")</f>
        <v/>
      </c>
      <c r="O68" s="113" t="str">
        <f>IF(AND(ABS(Sep!F69)&gt;קריטריונים!$B$1,Sep!B69&gt;קריטריונים!$B$3),Sep!F69,"")</f>
        <v/>
      </c>
      <c r="P68" s="113" t="str">
        <f>IF(AND(ABS(Sep!E69)&gt;קריטריונים!$B$1,Sep!B69&gt;קריטריונים!$B$3),Sep!E69,"")</f>
        <v/>
      </c>
      <c r="Q68" s="113" t="str">
        <f>IF(AND(ABS(Aug!K69)&gt;קריטריונים!$B$2,Aug!B69&gt;קריטריונים!$B$3),Aug!K69,"")</f>
        <v/>
      </c>
      <c r="R68" s="113" t="str">
        <f>IF(AND(ABS(Aug!J69)&gt;קריטריונים!$B$2,Aug!B69&gt;קריטריונים!$B$3),Aug!J69,"")</f>
        <v/>
      </c>
      <c r="S68" s="113" t="str">
        <f>IF(AND(ABS(Aug!F69)&gt;קריטריונים!$B$1,Aug!B69&gt;קריטריונים!$B$3),Aug!F69,"")</f>
        <v/>
      </c>
      <c r="T68" s="113" t="str">
        <f>IF(AND(ABS(Aug!E69)&gt;קריטריונים!$B$1,Aug!B69&gt;קריטריונים!$B$3),Aug!E69,"")</f>
        <v/>
      </c>
      <c r="U68" s="113" t="str">
        <f>IF(AND(ABS(Jul!K69)&gt;קריטריונים!$B$2,Jul!B69&gt;קריטריונים!$B$3),Jul!K69,"")</f>
        <v/>
      </c>
      <c r="V68" s="113" t="str">
        <f>IF(AND(ABS(Jul!J69)&gt;קריטריונים!$B$2,Jul!B69&gt;קריטריונים!$B$3),Jul!J69,"")</f>
        <v/>
      </c>
      <c r="W68" s="113" t="str">
        <f>IF(AND(ABS(Jul!F69)&gt;קריטריונים!$B$1,Jul!B69&gt;קריטריונים!$B$3),Jul!F69,"")</f>
        <v/>
      </c>
      <c r="X68" s="113" t="str">
        <f>IF(AND(ABS(Jul!E69)&gt;קריטריונים!$B$1,Jul!B69&gt;קריטריונים!$B$3),Jul!E69,"")</f>
        <v/>
      </c>
      <c r="Y68" s="113" t="str">
        <f>IF(AND(ABS(Jun!K69)&gt;קריטריונים!$B$2,Jun!B69&gt;קריטריונים!$B$3),Jun!K69,"")</f>
        <v/>
      </c>
      <c r="Z68" s="113" t="str">
        <f>IF(AND(ABS(Jun!J69)&gt;קריטריונים!$B$2,Jun!B69&gt;קריטריונים!$B$3),Jun!J69,"")</f>
        <v/>
      </c>
      <c r="AA68" s="113" t="str">
        <f>IF(AND(ABS(Jun!F69)&gt;קריטריונים!$B$1,Jun!B69&gt;קריטריונים!$B$3),Jun!F69,"")</f>
        <v/>
      </c>
      <c r="AB68" s="113" t="str">
        <f>IF(AND(ABS(Jun!E69)&gt;קריטריונים!$B$1,Jun!B69&gt;קריטריונים!$B$3),Jun!E69,"")</f>
        <v/>
      </c>
      <c r="AC68" s="113" t="str">
        <f>IF(AND(ABS(May!K69)&gt;קריטריונים!$B$2,May!B69&gt;קריטריונים!$B$3),May!K69,"")</f>
        <v/>
      </c>
      <c r="AD68" s="113" t="str">
        <f>IF(AND(ABS(May!J69)&gt;קריטריונים!$B$2,May!B69&gt;קריטריונים!$B$3),May!J69,"")</f>
        <v/>
      </c>
      <c r="AE68" s="113" t="str">
        <f>IF(AND(ABS(May!F69)&gt;קריטריונים!$B$1,May!B69&gt;קריטריונים!$B$3),May!F69,"")</f>
        <v/>
      </c>
      <c r="AF68" s="113" t="str">
        <f>IF(AND(ABS(May!E69)&gt;קריטריונים!$B$1,May!B69&gt;קריטריונים!$B$3),May!E69,"")</f>
        <v/>
      </c>
      <c r="AG68" s="113" t="str">
        <f>IF(AND(ABS(Apr!K69)&gt;קריטריונים!$B$2,Apr!B69&gt;קריטריונים!$B$3),Apr!K69,"")</f>
        <v/>
      </c>
      <c r="AH68" s="113" t="str">
        <f>IF(AND(ABS(Apr!J69)&gt;קריטריונים!$B$2,Apr!B69&gt;קריטריונים!$B$3),Apr!J69,"")</f>
        <v/>
      </c>
      <c r="AI68" s="113" t="str">
        <f>IF(AND(ABS(Apr!F69)&gt;קריטריונים!$B$1,Apr!B69&gt;קריטריונים!$B$3),Apr!F69,"")</f>
        <v/>
      </c>
      <c r="AJ68" s="113" t="str">
        <f>IF(AND(ABS(Apr!E69)&gt;קריטריונים!$B$1,Apr!B69&gt;קריטריונים!$B$3),Apr!E69,"")</f>
        <v/>
      </c>
      <c r="AK68" s="113" t="str">
        <f>IF(AND(ABS(Mar!K69)&gt;קריטריונים!$B$2,Mar!B69&gt;קריטריונים!$B$3),Mar!K69,"")</f>
        <v/>
      </c>
      <c r="AL68" s="113" t="str">
        <f>IF(AND(ABS(Mar!J69)&gt;קריטריונים!$B$2,Mar!B69&gt;קריטריונים!$B$3),Mar!J69,"")</f>
        <v/>
      </c>
      <c r="AM68" s="113" t="str">
        <f>IF(AND(ABS(Mar!F69)&gt;קריטריונים!$B$1,Mar!B69&gt;קריטריונים!$B$3),Mar!F69,"")</f>
        <v/>
      </c>
      <c r="AN68" s="113" t="str">
        <f>IF(AND(ABS(Mar!E69)&gt;קריטריונים!$B$1,Mar!B69&gt;קריטריונים!$B$3),Mar!E69,"")</f>
        <v/>
      </c>
      <c r="AO68" s="113" t="str">
        <f>IF(AND(ABS(Feb!K69)&gt;קריטריונים!$B$2,Feb!B69&gt;קריטריונים!$B$3),Feb!K69,"")</f>
        <v/>
      </c>
      <c r="AP68" s="113" t="str">
        <f>IF(AND(ABS(Feb!J69)&gt;קריטריונים!$B$2,Feb!B69&gt;קריטריונים!$B$3),Feb!J69,"")</f>
        <v/>
      </c>
      <c r="AQ68" s="113" t="str">
        <f>IF(AND(ABS(Feb!F69)&gt;קריטריונים!$B$1,Feb!B69&gt;קריטריונים!$B$3),Feb!F69,"")</f>
        <v/>
      </c>
      <c r="AR68" s="113" t="str">
        <f>IF(AND(ABS(Feb!E69)&gt;קריטריונים!$B$1,Feb!B69&gt;קריטריונים!$B$3),Feb!E69,"")</f>
        <v/>
      </c>
      <c r="AS68" s="113" t="str">
        <f>IF(AND(ABS(Jan!F69)&gt;קריטריונים!$B$1,Jan!B69&gt;קריטריונים!$B$3),Jan!F69,"")</f>
        <v/>
      </c>
      <c r="AT68" s="103" t="str">
        <f>IF(AND(ABS(Jan!E69)&gt;קריטריונים!$B$1,Jan!B69&gt;קריטריונים!$B$3),Jan!E69,"")</f>
        <v/>
      </c>
      <c r="AU68" s="118" t="s">
        <v>56</v>
      </c>
      <c r="AV68" s="4"/>
    </row>
    <row r="69" spans="1:49">
      <c r="A69" s="112" t="str">
        <f>IF(AND(ABS(Dec!K70)&gt;קריטריונים!$B$2,Dec!B70&gt;קריטריונים!$B$3),Dec!K70,"")</f>
        <v/>
      </c>
      <c r="B69" s="113" t="str">
        <f>IF(AND(ABS(Dec!J70)&gt;קריטריונים!$B$2,Dec!B70&gt;קריטריונים!$B$3),Dec!J70,"")</f>
        <v/>
      </c>
      <c r="C69" s="113" t="str">
        <f>IF(AND(ABS(Dec!F70)&gt;קריטריונים!$B$1,Dec!B70&gt;קריטריונים!$B$3),Dec!F70,"")</f>
        <v/>
      </c>
      <c r="D69" s="113" t="str">
        <f>IF(AND(ABS(Dec!E70)&gt;קריטריונים!$B$1,Dec!B70&gt;קריטריונים!$B$3),Dec!E70,"")</f>
        <v/>
      </c>
      <c r="E69" s="113" t="str">
        <f>IF(AND(ABS(Nov!K70)&gt;קריטריונים!$B$2,Nov!B70&gt;קריטריונים!$B$3),Nov!K70,"")</f>
        <v/>
      </c>
      <c r="F69" s="113" t="str">
        <f>IF(AND(ABS(Nov!J70)&gt;קריטריונים!$B$2,Nov!B70&gt;קריטריונים!$B$3),Nov!J70,"")</f>
        <v/>
      </c>
      <c r="G69" s="113" t="str">
        <f>IF(AND(ABS(Nov!F70)&gt;קריטריונים!$B$1,Nov!B70&gt;קריטריונים!$B$3),Nov!F70,"")</f>
        <v/>
      </c>
      <c r="H69" s="113" t="str">
        <f>IF(AND(ABS(Nov!E70)&gt;קריטריונים!$B$1,Nov!B70&gt;קריטריונים!$B$3),Nov!E70,"")</f>
        <v/>
      </c>
      <c r="I69" s="113" t="str">
        <f>IF(AND(ABS(Oct!K70)&gt;קריטריונים!$B$2,Oct!B70&gt;קריטריונים!$B$3),Oct!K70,"")</f>
        <v/>
      </c>
      <c r="J69" s="113" t="str">
        <f>IF(AND(ABS(Oct!J70)&gt;קריטריונים!$B$2,Oct!B70&gt;קריטריונים!$B$3),Oct!J70,"")</f>
        <v/>
      </c>
      <c r="K69" s="113" t="str">
        <f>IF(AND(ABS(Oct!F70)&gt;קריטריונים!$B$1,Oct!B70&gt;קריטריונים!$B$3),Oct!F70,"")</f>
        <v/>
      </c>
      <c r="L69" s="113" t="str">
        <f>IF(AND(ABS(Oct!E70)&gt;קריטריונים!$B$1,Oct!B70&gt;קריטריונים!$B$3),Oct!E70,"")</f>
        <v/>
      </c>
      <c r="M69" s="113" t="str">
        <f>IF(AND(ABS(Sep!K70)&gt;קריטריונים!$B$2,Sep!B70&gt;קריטריונים!$B$3),Sep!K70,"")</f>
        <v/>
      </c>
      <c r="N69" s="113" t="str">
        <f>IF(AND(ABS(Sep!J70)&gt;קריטריונים!$B$2,Sep!B70&gt;קריטריונים!$B$3),Sep!J70,"")</f>
        <v/>
      </c>
      <c r="O69" s="113" t="str">
        <f>IF(AND(ABS(Sep!F70)&gt;קריטריונים!$B$1,Sep!B70&gt;קריטריונים!$B$3),Sep!F70,"")</f>
        <v/>
      </c>
      <c r="P69" s="113" t="str">
        <f>IF(AND(ABS(Sep!E70)&gt;קריטריונים!$B$1,Sep!B70&gt;קריטריונים!$B$3),Sep!E70,"")</f>
        <v/>
      </c>
      <c r="Q69" s="113" t="str">
        <f>IF(AND(ABS(Aug!K70)&gt;קריטריונים!$B$2,Aug!B70&gt;קריטריונים!$B$3),Aug!K70,"")</f>
        <v/>
      </c>
      <c r="R69" s="113" t="str">
        <f>IF(AND(ABS(Aug!J70)&gt;קריטריונים!$B$2,Aug!B70&gt;קריטריונים!$B$3),Aug!J70,"")</f>
        <v/>
      </c>
      <c r="S69" s="113" t="str">
        <f>IF(AND(ABS(Aug!F70)&gt;קריטריונים!$B$1,Aug!B70&gt;קריטריונים!$B$3),Aug!F70,"")</f>
        <v/>
      </c>
      <c r="T69" s="113" t="str">
        <f>IF(AND(ABS(Aug!E70)&gt;קריטריונים!$B$1,Aug!B70&gt;קריטריונים!$B$3),Aug!E70,"")</f>
        <v/>
      </c>
      <c r="U69" s="113" t="str">
        <f>IF(AND(ABS(Jul!K70)&gt;קריטריונים!$B$2,Jul!B70&gt;קריטריונים!$B$3),Jul!K70,"")</f>
        <v/>
      </c>
      <c r="V69" s="113" t="str">
        <f>IF(AND(ABS(Jul!J70)&gt;קריטריונים!$B$2,Jul!B70&gt;קריטריונים!$B$3),Jul!J70,"")</f>
        <v/>
      </c>
      <c r="W69" s="113" t="str">
        <f>IF(AND(ABS(Jul!F70)&gt;קריטריונים!$B$1,Jul!B70&gt;קריטריונים!$B$3),Jul!F70,"")</f>
        <v/>
      </c>
      <c r="X69" s="113" t="str">
        <f>IF(AND(ABS(Jul!E70)&gt;קריטריונים!$B$1,Jul!B70&gt;קריטריונים!$B$3),Jul!E70,"")</f>
        <v/>
      </c>
      <c r="Y69" s="113" t="str">
        <f>IF(AND(ABS(Jun!K70)&gt;קריטריונים!$B$2,Jun!B70&gt;קריטריונים!$B$3),Jun!K70,"")</f>
        <v/>
      </c>
      <c r="Z69" s="113" t="str">
        <f>IF(AND(ABS(Jun!J70)&gt;קריטריונים!$B$2,Jun!B70&gt;קריטריונים!$B$3),Jun!J70,"")</f>
        <v/>
      </c>
      <c r="AA69" s="113" t="str">
        <f>IF(AND(ABS(Jun!F70)&gt;קריטריונים!$B$1,Jun!B70&gt;קריטריונים!$B$3),Jun!F70,"")</f>
        <v/>
      </c>
      <c r="AB69" s="113" t="str">
        <f>IF(AND(ABS(Jun!E70)&gt;קריטריונים!$B$1,Jun!B70&gt;קריטריונים!$B$3),Jun!E70,"")</f>
        <v/>
      </c>
      <c r="AC69" s="113" t="str">
        <f>IF(AND(ABS(May!K70)&gt;קריטריונים!$B$2,May!B70&gt;קריטריונים!$B$3),May!K70,"")</f>
        <v/>
      </c>
      <c r="AD69" s="113" t="str">
        <f>IF(AND(ABS(May!J70)&gt;קריטריונים!$B$2,May!B70&gt;קריטריונים!$B$3),May!J70,"")</f>
        <v/>
      </c>
      <c r="AE69" s="113" t="str">
        <f>IF(AND(ABS(May!F70)&gt;קריטריונים!$B$1,May!B70&gt;קריטריונים!$B$3),May!F70,"")</f>
        <v/>
      </c>
      <c r="AF69" s="113" t="str">
        <f>IF(AND(ABS(May!E70)&gt;קריטריונים!$B$1,May!B70&gt;קריטריונים!$B$3),May!E70,"")</f>
        <v/>
      </c>
      <c r="AG69" s="113" t="str">
        <f>IF(AND(ABS(Apr!K70)&gt;קריטריונים!$B$2,Apr!B70&gt;קריטריונים!$B$3),Apr!K70,"")</f>
        <v/>
      </c>
      <c r="AH69" s="113" t="str">
        <f>IF(AND(ABS(Apr!J70)&gt;קריטריונים!$B$2,Apr!B70&gt;קריטריונים!$B$3),Apr!J70,"")</f>
        <v/>
      </c>
      <c r="AI69" s="113" t="str">
        <f>IF(AND(ABS(Apr!F70)&gt;קריטריונים!$B$1,Apr!B70&gt;קריטריונים!$B$3),Apr!F70,"")</f>
        <v/>
      </c>
      <c r="AJ69" s="113" t="str">
        <f>IF(AND(ABS(Apr!E70)&gt;קריטריונים!$B$1,Apr!B70&gt;קריטריונים!$B$3),Apr!E70,"")</f>
        <v/>
      </c>
      <c r="AK69" s="113" t="str">
        <f>IF(AND(ABS(Mar!K70)&gt;קריטריונים!$B$2,Mar!B70&gt;קריטריונים!$B$3),Mar!K70,"")</f>
        <v/>
      </c>
      <c r="AL69" s="113" t="str">
        <f>IF(AND(ABS(Mar!J70)&gt;קריטריונים!$B$2,Mar!B70&gt;קריטריונים!$B$3),Mar!J70,"")</f>
        <v/>
      </c>
      <c r="AM69" s="113" t="str">
        <f>IF(AND(ABS(Mar!F70)&gt;קריטריונים!$B$1,Mar!B70&gt;קריטריונים!$B$3),Mar!F70,"")</f>
        <v/>
      </c>
      <c r="AN69" s="113" t="str">
        <f>IF(AND(ABS(Mar!E70)&gt;קריטריונים!$B$1,Mar!B70&gt;קריטריונים!$B$3),Mar!E70,"")</f>
        <v/>
      </c>
      <c r="AO69" s="113" t="str">
        <f>IF(AND(ABS(Feb!K70)&gt;קריטריונים!$B$2,Feb!B70&gt;קריטריונים!$B$3),Feb!K70,"")</f>
        <v/>
      </c>
      <c r="AP69" s="113" t="str">
        <f>IF(AND(ABS(Feb!J70)&gt;קריטריונים!$B$2,Feb!B70&gt;קריטריונים!$B$3),Feb!J70,"")</f>
        <v/>
      </c>
      <c r="AQ69" s="113" t="str">
        <f>IF(AND(ABS(Feb!F70)&gt;קריטריונים!$B$1,Feb!B70&gt;קריטריונים!$B$3),Feb!F70,"")</f>
        <v/>
      </c>
      <c r="AR69" s="113" t="str">
        <f>IF(AND(ABS(Feb!E70)&gt;קריטריונים!$B$1,Feb!B70&gt;קריטריונים!$B$3),Feb!E70,"")</f>
        <v/>
      </c>
      <c r="AS69" s="113" t="str">
        <f>IF(AND(ABS(Jan!F70)&gt;קריטריונים!$B$1,Jan!B70&gt;קריטריונים!$B$3),Jan!F70,"")</f>
        <v/>
      </c>
      <c r="AT69" s="103" t="str">
        <f>IF(AND(ABS(Jan!E70)&gt;קריטריונים!$B$1,Jan!B70&gt;קריטריונים!$B$3),Jan!E70,"")</f>
        <v/>
      </c>
      <c r="AU69" s="118" t="s">
        <v>88</v>
      </c>
      <c r="AV69" s="4"/>
      <c r="AW69" s="105"/>
    </row>
    <row r="70" spans="1:49">
      <c r="A70" s="112" t="str">
        <f>IF(AND(ABS(Dec!K71)&gt;קריטריונים!$B$2,Dec!B71&gt;קריטריונים!$B$3),Dec!K71,"")</f>
        <v/>
      </c>
      <c r="B70" s="113" t="str">
        <f>IF(AND(ABS(Dec!J71)&gt;קריטריונים!$B$2,Dec!B71&gt;קריטריונים!$B$3),Dec!J71,"")</f>
        <v/>
      </c>
      <c r="C70" s="113" t="str">
        <f>IF(AND(ABS(Dec!F71)&gt;קריטריונים!$B$1,Dec!B71&gt;קריטריונים!$B$3),Dec!F71,"")</f>
        <v/>
      </c>
      <c r="D70" s="113" t="str">
        <f>IF(AND(ABS(Dec!E71)&gt;קריטריונים!$B$1,Dec!B71&gt;קריטריונים!$B$3),Dec!E71,"")</f>
        <v/>
      </c>
      <c r="E70" s="113" t="str">
        <f>IF(AND(ABS(Nov!K71)&gt;קריטריונים!$B$2,Nov!B71&gt;קריטריונים!$B$3),Nov!K71,"")</f>
        <v/>
      </c>
      <c r="F70" s="113" t="str">
        <f>IF(AND(ABS(Nov!J71)&gt;קריטריונים!$B$2,Nov!B71&gt;קריטריונים!$B$3),Nov!J71,"")</f>
        <v/>
      </c>
      <c r="G70" s="113" t="str">
        <f>IF(AND(ABS(Nov!F71)&gt;קריטריונים!$B$1,Nov!B71&gt;קריטריונים!$B$3),Nov!F71,"")</f>
        <v/>
      </c>
      <c r="H70" s="113" t="str">
        <f>IF(AND(ABS(Nov!E71)&gt;קריטריונים!$B$1,Nov!B71&gt;קריטריונים!$B$3),Nov!E71,"")</f>
        <v/>
      </c>
      <c r="I70" s="113" t="str">
        <f>IF(AND(ABS(Oct!K71)&gt;קריטריונים!$B$2,Oct!B71&gt;קריטריונים!$B$3),Oct!K71,"")</f>
        <v/>
      </c>
      <c r="J70" s="113" t="str">
        <f>IF(AND(ABS(Oct!J71)&gt;קריטריונים!$B$2,Oct!B71&gt;קריטריונים!$B$3),Oct!J71,"")</f>
        <v/>
      </c>
      <c r="K70" s="113" t="str">
        <f>IF(AND(ABS(Oct!F71)&gt;קריטריונים!$B$1,Oct!B71&gt;קריטריונים!$B$3),Oct!F71,"")</f>
        <v/>
      </c>
      <c r="L70" s="113" t="str">
        <f>IF(AND(ABS(Oct!E71)&gt;קריטריונים!$B$1,Oct!B71&gt;קריטריונים!$B$3),Oct!E71,"")</f>
        <v/>
      </c>
      <c r="M70" s="113" t="str">
        <f>IF(AND(ABS(Sep!K71)&gt;קריטריונים!$B$2,Sep!B71&gt;קריטריונים!$B$3),Sep!K71,"")</f>
        <v/>
      </c>
      <c r="N70" s="113" t="str">
        <f>IF(AND(ABS(Sep!J71)&gt;קריטריונים!$B$2,Sep!B71&gt;קריטריונים!$B$3),Sep!J71,"")</f>
        <v/>
      </c>
      <c r="O70" s="113" t="str">
        <f>IF(AND(ABS(Sep!F71)&gt;קריטריונים!$B$1,Sep!B71&gt;קריטריונים!$B$3),Sep!F71,"")</f>
        <v/>
      </c>
      <c r="P70" s="113" t="str">
        <f>IF(AND(ABS(Sep!E71)&gt;קריטריונים!$B$1,Sep!B71&gt;קריטריונים!$B$3),Sep!E71,"")</f>
        <v/>
      </c>
      <c r="Q70" s="113" t="str">
        <f>IF(AND(ABS(Aug!K71)&gt;קריטריונים!$B$2,Aug!B71&gt;קריטריונים!$B$3),Aug!K71,"")</f>
        <v/>
      </c>
      <c r="R70" s="113" t="str">
        <f>IF(AND(ABS(Aug!J71)&gt;קריטריונים!$B$2,Aug!B71&gt;קריטריונים!$B$3),Aug!J71,"")</f>
        <v/>
      </c>
      <c r="S70" s="113" t="str">
        <f>IF(AND(ABS(Aug!F71)&gt;קריטריונים!$B$1,Aug!B71&gt;קריטריונים!$B$3),Aug!F71,"")</f>
        <v/>
      </c>
      <c r="T70" s="113" t="str">
        <f>IF(AND(ABS(Aug!E71)&gt;קריטריונים!$B$1,Aug!B71&gt;קריטריונים!$B$3),Aug!E71,"")</f>
        <v/>
      </c>
      <c r="U70" s="113" t="str">
        <f>IF(AND(ABS(Jul!K71)&gt;קריטריונים!$B$2,Jul!B71&gt;קריטריונים!$B$3),Jul!K71,"")</f>
        <v/>
      </c>
      <c r="V70" s="113" t="str">
        <f>IF(AND(ABS(Jul!J71)&gt;קריטריונים!$B$2,Jul!B71&gt;קריטריונים!$B$3),Jul!J71,"")</f>
        <v/>
      </c>
      <c r="W70" s="113" t="str">
        <f>IF(AND(ABS(Jul!F71)&gt;קריטריונים!$B$1,Jul!B71&gt;קריטריונים!$B$3),Jul!F71,"")</f>
        <v/>
      </c>
      <c r="X70" s="113" t="str">
        <f>IF(AND(ABS(Jul!E71)&gt;קריטריונים!$B$1,Jul!B71&gt;קריטריונים!$B$3),Jul!E71,"")</f>
        <v/>
      </c>
      <c r="Y70" s="113" t="str">
        <f>IF(AND(ABS(Jun!K71)&gt;קריטריונים!$B$2,Jun!B71&gt;קריטריונים!$B$3),Jun!K71,"")</f>
        <v/>
      </c>
      <c r="Z70" s="113" t="str">
        <f>IF(AND(ABS(Jun!J71)&gt;קריטריונים!$B$2,Jun!B71&gt;קריטריונים!$B$3),Jun!J71,"")</f>
        <v/>
      </c>
      <c r="AA70" s="113" t="str">
        <f>IF(AND(ABS(Jun!F71)&gt;קריטריונים!$B$1,Jun!B71&gt;קריטריונים!$B$3),Jun!F71,"")</f>
        <v/>
      </c>
      <c r="AB70" s="113" t="str">
        <f>IF(AND(ABS(Jun!E71)&gt;קריטריונים!$B$1,Jun!B71&gt;קריטריונים!$B$3),Jun!E71,"")</f>
        <v/>
      </c>
      <c r="AC70" s="113" t="str">
        <f>IF(AND(ABS(May!K71)&gt;קריטריונים!$B$2,May!B71&gt;קריטריונים!$B$3),May!K71,"")</f>
        <v/>
      </c>
      <c r="AD70" s="113" t="str">
        <f>IF(AND(ABS(May!J71)&gt;קריטריונים!$B$2,May!B71&gt;קריטריונים!$B$3),May!J71,"")</f>
        <v/>
      </c>
      <c r="AE70" s="113" t="str">
        <f>IF(AND(ABS(May!F71)&gt;קריטריונים!$B$1,May!B71&gt;קריטריונים!$B$3),May!F71,"")</f>
        <v/>
      </c>
      <c r="AF70" s="113" t="str">
        <f>IF(AND(ABS(May!E71)&gt;קריטריונים!$B$1,May!B71&gt;קריטריונים!$B$3),May!E71,"")</f>
        <v/>
      </c>
      <c r="AG70" s="113" t="str">
        <f>IF(AND(ABS(Apr!K71)&gt;קריטריונים!$B$2,Apr!B71&gt;קריטריונים!$B$3),Apr!K71,"")</f>
        <v/>
      </c>
      <c r="AH70" s="113" t="str">
        <f>IF(AND(ABS(Apr!J71)&gt;קריטריונים!$B$2,Apr!B71&gt;קריטריונים!$B$3),Apr!J71,"")</f>
        <v/>
      </c>
      <c r="AI70" s="113" t="str">
        <f>IF(AND(ABS(Apr!F71)&gt;קריטריונים!$B$1,Apr!B71&gt;קריטריונים!$B$3),Apr!F71,"")</f>
        <v/>
      </c>
      <c r="AJ70" s="113" t="str">
        <f>IF(AND(ABS(Apr!E71)&gt;קריטריונים!$B$1,Apr!B71&gt;קריטריונים!$B$3),Apr!E71,"")</f>
        <v/>
      </c>
      <c r="AK70" s="113" t="str">
        <f>IF(AND(ABS(Mar!K71)&gt;קריטריונים!$B$2,Mar!B71&gt;קריטריונים!$B$3),Mar!K71,"")</f>
        <v/>
      </c>
      <c r="AL70" s="113" t="str">
        <f>IF(AND(ABS(Mar!J71)&gt;קריטריונים!$B$2,Mar!B71&gt;קריטריונים!$B$3),Mar!J71,"")</f>
        <v/>
      </c>
      <c r="AM70" s="113" t="str">
        <f>IF(AND(ABS(Mar!F71)&gt;קריטריונים!$B$1,Mar!B71&gt;קריטריונים!$B$3),Mar!F71,"")</f>
        <v/>
      </c>
      <c r="AN70" s="113" t="str">
        <f>IF(AND(ABS(Mar!E71)&gt;קריטריונים!$B$1,Mar!B71&gt;קריטריונים!$B$3),Mar!E71,"")</f>
        <v/>
      </c>
      <c r="AO70" s="113" t="str">
        <f>IF(AND(ABS(Feb!K71)&gt;קריטריונים!$B$2,Feb!B71&gt;קריטריונים!$B$3),Feb!K71,"")</f>
        <v/>
      </c>
      <c r="AP70" s="113" t="str">
        <f>IF(AND(ABS(Feb!J71)&gt;קריטריונים!$B$2,Feb!B71&gt;קריטריונים!$B$3),Feb!J71,"")</f>
        <v/>
      </c>
      <c r="AQ70" s="113" t="str">
        <f>IF(AND(ABS(Feb!F71)&gt;קריטריונים!$B$1,Feb!B71&gt;קריטריונים!$B$3),Feb!F71,"")</f>
        <v/>
      </c>
      <c r="AR70" s="113" t="str">
        <f>IF(AND(ABS(Feb!E71)&gt;קריטריונים!$B$1,Feb!B71&gt;קריטריונים!$B$3),Feb!E71,"")</f>
        <v/>
      </c>
      <c r="AS70" s="113" t="str">
        <f>IF(AND(ABS(Jan!F71)&gt;קריטריונים!$B$1,Jan!B71&gt;קריטריונים!$B$3),Jan!F71,"")</f>
        <v/>
      </c>
      <c r="AT70" s="103" t="str">
        <f>IF(AND(ABS(Jan!E71)&gt;קריטריונים!$B$1,Jan!B71&gt;קריטריונים!$B$3),Jan!E71,"")</f>
        <v/>
      </c>
      <c r="AU70" s="118" t="s">
        <v>89</v>
      </c>
      <c r="AV70" s="4"/>
    </row>
    <row r="71" spans="1:49">
      <c r="A71" s="112" t="str">
        <f>IF(AND(ABS(Dec!K72)&gt;קריטריונים!$B$2,Dec!B72&gt;קריטריונים!$B$3),Dec!K72,"")</f>
        <v/>
      </c>
      <c r="B71" s="113" t="str">
        <f>IF(AND(ABS(Dec!J72)&gt;קריטריונים!$B$2,Dec!B72&gt;קריטריונים!$B$3),Dec!J72,"")</f>
        <v/>
      </c>
      <c r="C71" s="113" t="str">
        <f>IF(AND(ABS(Dec!F72)&gt;קריטריונים!$B$1,Dec!B72&gt;קריטריונים!$B$3),Dec!F72,"")</f>
        <v/>
      </c>
      <c r="D71" s="113" t="str">
        <f>IF(AND(ABS(Dec!E72)&gt;קריטריונים!$B$1,Dec!B72&gt;קריטריונים!$B$3),Dec!E72,"")</f>
        <v/>
      </c>
      <c r="E71" s="113">
        <f>IF(AND(ABS(Nov!K72)&gt;קריטריונים!$B$2,Nov!B72&gt;קריטריונים!$B$3),Nov!K72,"")</f>
        <v>0.79696896800577344</v>
      </c>
      <c r="F71" s="113">
        <f>IF(AND(ABS(Nov!J72)&gt;קריטריונים!$B$2,Nov!B72&gt;קריטריונים!$B$3),Nov!J72,"")</f>
        <v>0.61716314513335679</v>
      </c>
      <c r="G71" s="113">
        <f>IF(AND(ABS(Nov!F72)&gt;קריטריונים!$B$1,Nov!B72&gt;קריטריונים!$B$3),Nov!F72,"")</f>
        <v>1.8377395100654859</v>
      </c>
      <c r="H71" s="113">
        <f>IF(AND(ABS(Nov!E72)&gt;קריטריונים!$B$1,Nov!B72&gt;קריטריונים!$B$3),Nov!E72,"")</f>
        <v>0.9310117181052977</v>
      </c>
      <c r="I71" s="113">
        <f>IF(AND(ABS(Oct!K72)&gt;קריטריונים!$B$2,Oct!B72&gt;קריטריונים!$B$3),Oct!K72,"")</f>
        <v>0.68237776056826971</v>
      </c>
      <c r="J71" s="113">
        <f>IF(AND(ABS(Oct!J72)&gt;קריטריונים!$B$2,Oct!B72&gt;קריטריונים!$B$3),Oct!J72,"")</f>
        <v>0.56978047990431824</v>
      </c>
      <c r="K71" s="113">
        <f>IF(AND(ABS(Oct!F72)&gt;קריטריונים!$B$1,Oct!B72&gt;קריטריונים!$B$3),Oct!F72,"")</f>
        <v>0.74517593643586832</v>
      </c>
      <c r="L71" s="113">
        <f>IF(AND(ABS(Oct!E72)&gt;קריטריונים!$B$1,Oct!B72&gt;קריטריונים!$B$3),Oct!E72,"")</f>
        <v>1.1544929059379929</v>
      </c>
      <c r="M71" s="113">
        <f>IF(AND(ABS(Sep!K72)&gt;קריטריונים!$B$2,Sep!B72&gt;קריטריונים!$B$3),Sep!K72,"")</f>
        <v>0.66781802032961601</v>
      </c>
      <c r="N71" s="113">
        <f>IF(AND(ABS(Sep!J72)&gt;קריטריונים!$B$2,Sep!B72&gt;קריטריונים!$B$3),Sep!J72,"")</f>
        <v>0.47280966767371591</v>
      </c>
      <c r="O71" s="113">
        <f>IF(AND(ABS(Sep!F72)&gt;קריטריונים!$B$1,Sep!B72&gt;קריטריונים!$B$3),Sep!F72,"")</f>
        <v>0.69574834111575345</v>
      </c>
      <c r="P71" s="113">
        <f>IF(AND(ABS(Sep!E72)&gt;קריטריונים!$B$1,Sep!B72&gt;קריטריונים!$B$3),Sep!E72,"")</f>
        <v>0.33720930232558133</v>
      </c>
      <c r="Q71" s="113">
        <f>IF(AND(ABS(Aug!K72)&gt;קריטריונים!$B$2,Aug!B72&gt;קריטריונים!$B$3),Aug!K72,"")</f>
        <v>0.66350170907709827</v>
      </c>
      <c r="R71" s="113">
        <f>IF(AND(ABS(Aug!J72)&gt;קריטריונים!$B$2,Aug!B72&gt;קריטריונים!$B$3),Aug!J72,"")</f>
        <v>0.49671951886276644</v>
      </c>
      <c r="S71" s="113">
        <f>IF(AND(ABS(Aug!F72)&gt;קריטריונים!$B$1,Aug!B72&gt;קריטריונים!$B$3),Aug!F72,"")</f>
        <v>0.15637319316688569</v>
      </c>
      <c r="T71" s="113">
        <f>IF(AND(ABS(Aug!E72)&gt;קריטריונים!$B$1,Aug!B72&gt;קריטריונים!$B$3),Aug!E72,"")</f>
        <v>0.19467825142546857</v>
      </c>
      <c r="U71" s="113">
        <f>IF(AND(ABS(Jul!K72)&gt;קריטריונים!$B$2,Jul!B72&gt;קריטריונים!$B$3),Jul!K72,"")</f>
        <v>0.49639194834789224</v>
      </c>
      <c r="V71" s="113">
        <f>IF(AND(ABS(Jul!J72)&gt;קריטריונים!$B$2,Jul!B72&gt;קריטריונים!$B$3),Jul!J72,"")</f>
        <v>0.54020562135960271</v>
      </c>
      <c r="W71" s="113">
        <f>IF(AND(ABS(Jul!F72)&gt;קריטריונים!$B$1,Jul!B72&gt;קריטריונים!$B$3),Jul!F72,"")</f>
        <v>0.41509433962264142</v>
      </c>
      <c r="X71" s="113">
        <f>IF(AND(ABS(Jul!E72)&gt;קריטריונים!$B$1,Jul!B72&gt;קריטריונים!$B$3),Jul!E72,"")</f>
        <v>0.29589632829373635</v>
      </c>
      <c r="Y71" s="113">
        <f>IF(AND(ABS(Jun!K72)&gt;קריטריונים!$B$2,Jun!B72&gt;קריטריונים!$B$3),Jun!K72,"")</f>
        <v>0.72325462251408879</v>
      </c>
      <c r="Z71" s="113">
        <f>IF(AND(ABS(Jun!J72)&gt;קריטריונים!$B$2,Jun!B72&gt;קריטריונים!$B$3),Jun!J72,"")</f>
        <v>0.55927346285136337</v>
      </c>
      <c r="AA71" s="113">
        <f>IF(AND(ABS(Jun!F72)&gt;קריטריונים!$B$1,Jun!B72&gt;קריטריונים!$B$3),Jun!F72,"")</f>
        <v>0.95895522388059695</v>
      </c>
      <c r="AB71" s="113">
        <f>IF(AND(ABS(Jun!E72)&gt;קריטריונים!$B$1,Jun!B72&gt;קריטריונים!$B$3),Jun!E72,"")</f>
        <v>0.6548463356973997</v>
      </c>
      <c r="AC71" s="113">
        <f>IF(AND(ABS(May!K72)&gt;קריטריונים!$B$2,May!B72&gt;קריטריונים!$B$3),May!K72,"")</f>
        <v>0.75541878512175531</v>
      </c>
      <c r="AD71" s="113">
        <f>IF(AND(ABS(May!J72)&gt;קריטריונים!$B$2,May!B72&gt;קריטריונים!$B$3),May!J72,"")</f>
        <v>0.54782690764947373</v>
      </c>
      <c r="AE71" s="113">
        <f>IF(AND(ABS(May!F72)&gt;קריטריונים!$B$1,May!B72&gt;קריטריונים!$B$3),May!F72,"")</f>
        <v>1.0349533157768733</v>
      </c>
      <c r="AF71" s="113">
        <f>IF(AND(ABS(May!E72)&gt;קריטריונים!$B$1,May!B72&gt;קריטריונים!$B$3),May!E72,"")</f>
        <v>0.36942162075076523</v>
      </c>
      <c r="AG71" s="113">
        <f>IF(AND(ABS(Apr!K72)&gt;קריטריונים!$B$2,Apr!B72&gt;קריטריונים!$B$3),Apr!K72,"")</f>
        <v>0.67493796526054584</v>
      </c>
      <c r="AH71" s="113">
        <f>IF(AND(ABS(Apr!J72)&gt;קריטריונים!$B$2,Apr!B72&gt;קריטריונים!$B$3),Apr!J72,"")</f>
        <v>0.62172984516817942</v>
      </c>
      <c r="AI71" s="113">
        <f>IF(AND(ABS(Apr!F72)&gt;קריטריונים!$B$1,Apr!B72&gt;קריטריונים!$B$3),Apr!F72,"")</f>
        <v>0.5236258437801351</v>
      </c>
      <c r="AJ71" s="113">
        <f>IF(AND(ABS(Apr!E72)&gt;קריטריונים!$B$1,Apr!B72&gt;קריטריונים!$B$3),Apr!E72,"")</f>
        <v>0.76931690929451291</v>
      </c>
      <c r="AK71" s="113">
        <f>IF(AND(ABS(Mar!K72)&gt;קריטריונים!$B$2,Mar!B72&gt;קריטריונים!$B$3),Mar!K72,"")</f>
        <v>0.75909042153813155</v>
      </c>
      <c r="AL71" s="113">
        <f>IF(AND(ABS(Mar!J72)&gt;קריטריונים!$B$2,Mar!B72&gt;קריטריונים!$B$3),Mar!J72,"")</f>
        <v>0.55908356307633822</v>
      </c>
      <c r="AM71" s="113">
        <f>IF(AND(ABS(Mar!F72)&gt;קריטריונים!$B$1,Mar!B72&gt;קריטריונים!$B$3),Mar!F72,"")</f>
        <v>0.8671059857221306</v>
      </c>
      <c r="AN71" s="113">
        <f>IF(AND(ABS(Mar!E72)&gt;קריטריונים!$B$1,Mar!B72&gt;קריטריונים!$B$3),Mar!E72,"")</f>
        <v>0.59549507273580482</v>
      </c>
      <c r="AO71" s="113">
        <f>IF(AND(ABS(Feb!K72)&gt;קריטריונים!$B$2,Feb!B72&gt;קריטריונים!$B$3),Feb!K72,"")</f>
        <v>0.68984333744059168</v>
      </c>
      <c r="AP71" s="113">
        <f>IF(AND(ABS(Feb!J72)&gt;קריטריונים!$B$2,Feb!B72&gt;קריטריונים!$B$3),Feb!J72,"")</f>
        <v>0.53428160460284491</v>
      </c>
      <c r="AQ71" s="113">
        <f>IF(AND(ABS(Feb!F72)&gt;קריטריונים!$B$1,Feb!B72&gt;קריטריונים!$B$3),Feb!F72,"")</f>
        <v>1.0062942564909521</v>
      </c>
      <c r="AR71" s="113">
        <f>IF(AND(ABS(Feb!E72)&gt;קריטריונים!$B$1,Feb!B72&gt;קריטריונים!$B$3),Feb!E72,"")</f>
        <v>0.57456004939796235</v>
      </c>
      <c r="AS71" s="113">
        <f>IF(AND(ABS(Jan!F72)&gt;קריטריונים!$B$1,Jan!B72&gt;קריטריונים!$B$3),Jan!F72,"")</f>
        <v>0.43357757247531081</v>
      </c>
      <c r="AT71" s="103">
        <f>IF(AND(ABS(Jan!E72)&gt;קריטריונים!$B$1,Jan!B72&gt;קריטריונים!$B$3),Jan!E72,"")</f>
        <v>0.49105367793240573</v>
      </c>
      <c r="AU71" s="118" t="s">
        <v>59</v>
      </c>
      <c r="AV71" s="4"/>
    </row>
    <row r="72" spans="1:49">
      <c r="A72" s="112" t="str">
        <f>IF(AND(ABS(Dec!K73)&gt;קריטריונים!$B$2,Dec!B73&gt;קריטריונים!$B$3),Dec!K73,"")</f>
        <v/>
      </c>
      <c r="B72" s="113" t="str">
        <f>IF(AND(ABS(Dec!J73)&gt;קריטריונים!$B$2,Dec!B73&gt;קריטריונים!$B$3),Dec!J73,"")</f>
        <v/>
      </c>
      <c r="C72" s="113" t="str">
        <f>IF(AND(ABS(Dec!F73)&gt;קריטריונים!$B$1,Dec!B73&gt;קריטריונים!$B$3),Dec!F73,"")</f>
        <v/>
      </c>
      <c r="D72" s="113" t="str">
        <f>IF(AND(ABS(Dec!E73)&gt;קריטריונים!$B$1,Dec!B73&gt;קריטריונים!$B$3),Dec!E73,"")</f>
        <v/>
      </c>
      <c r="E72" s="113">
        <f>IF(AND(ABS(Nov!K73)&gt;קריטריונים!$B$2,Nov!B73&gt;קריטריונים!$B$3),Nov!K73,"")</f>
        <v>0.30631180564033667</v>
      </c>
      <c r="F72" s="113">
        <f>IF(AND(ABS(Nov!J73)&gt;קריטריונים!$B$2,Nov!B73&gt;קריטריונים!$B$3),Nov!J73,"")</f>
        <v>0.4112371405961488</v>
      </c>
      <c r="G72" s="113">
        <f>IF(AND(ABS(Nov!F73)&gt;קריטריונים!$B$1,Nov!B73&gt;קריטריונים!$B$3),Nov!F73,"")</f>
        <v>1.4581005586592179</v>
      </c>
      <c r="H72" s="113">
        <f>IF(AND(ABS(Nov!E73)&gt;קריטריונים!$B$1,Nov!B73&gt;קריטריונים!$B$3),Nov!E73,"")</f>
        <v>0.71740827478532432</v>
      </c>
      <c r="I72" s="113" t="str">
        <f>IF(AND(ABS(Oct!K73)&gt;קריטריונים!$B$2,Oct!B73&gt;קריטריונים!$B$3),Oct!K73,"")</f>
        <v/>
      </c>
      <c r="J72" s="113" t="str">
        <f>IF(AND(ABS(Oct!J73)&gt;קריטריונים!$B$2,Oct!B73&gt;קריטריונים!$B$3),Oct!J73,"")</f>
        <v/>
      </c>
      <c r="K72" s="113" t="str">
        <f>IF(AND(ABS(Oct!F73)&gt;קריטריונים!$B$1,Oct!B73&gt;קריטריונים!$B$3),Oct!F73,"")</f>
        <v/>
      </c>
      <c r="L72" s="113" t="str">
        <f>IF(AND(ABS(Oct!E73)&gt;קריטריונים!$B$1,Oct!B73&gt;קריטריונים!$B$3),Oct!E73,"")</f>
        <v/>
      </c>
      <c r="M72" s="113" t="str">
        <f>IF(AND(ABS(Sep!K73)&gt;קריטריונים!$B$2,Sep!B73&gt;קריטריונים!$B$3),Sep!K73,"")</f>
        <v/>
      </c>
      <c r="N72" s="113" t="str">
        <f>IF(AND(ABS(Sep!J73)&gt;קריטריונים!$B$2,Sep!B73&gt;קריטריונים!$B$3),Sep!J73,"")</f>
        <v/>
      </c>
      <c r="O72" s="113" t="str">
        <f>IF(AND(ABS(Sep!F73)&gt;קריטריונים!$B$1,Sep!B73&gt;קריטריונים!$B$3),Sep!F73,"")</f>
        <v/>
      </c>
      <c r="P72" s="113" t="str">
        <f>IF(AND(ABS(Sep!E73)&gt;קריטריונים!$B$1,Sep!B73&gt;קריטריונים!$B$3),Sep!E73,"")</f>
        <v/>
      </c>
      <c r="Q72" s="113" t="str">
        <f>IF(AND(ABS(Aug!K73)&gt;קריטריונים!$B$2,Aug!B73&gt;קריטריונים!$B$3),Aug!K73,"")</f>
        <v/>
      </c>
      <c r="R72" s="113" t="str">
        <f>IF(AND(ABS(Aug!J73)&gt;קריטריונים!$B$2,Aug!B73&gt;קריטריונים!$B$3),Aug!J73,"")</f>
        <v/>
      </c>
      <c r="S72" s="113" t="str">
        <f>IF(AND(ABS(Aug!F73)&gt;קריטריונים!$B$1,Aug!B73&gt;קריטריונים!$B$3),Aug!F73,"")</f>
        <v/>
      </c>
      <c r="T72" s="113" t="str">
        <f>IF(AND(ABS(Aug!E73)&gt;קריטריונים!$B$1,Aug!B73&gt;קריטריונים!$B$3),Aug!E73,"")</f>
        <v/>
      </c>
      <c r="U72" s="113" t="str">
        <f>IF(AND(ABS(Jul!K73)&gt;קריטריונים!$B$2,Jul!B73&gt;קריטריונים!$B$3),Jul!K73,"")</f>
        <v/>
      </c>
      <c r="V72" s="113" t="str">
        <f>IF(AND(ABS(Jul!J73)&gt;קריטריונים!$B$2,Jul!B73&gt;קריטריונים!$B$3),Jul!J73,"")</f>
        <v/>
      </c>
      <c r="W72" s="113" t="str">
        <f>IF(AND(ABS(Jul!F73)&gt;קריטריונים!$B$1,Jul!B73&gt;קריטריונים!$B$3),Jul!F73,"")</f>
        <v/>
      </c>
      <c r="X72" s="113" t="str">
        <f>IF(AND(ABS(Jul!E73)&gt;קריטריונים!$B$1,Jul!B73&gt;קריטריונים!$B$3),Jul!E73,"")</f>
        <v/>
      </c>
      <c r="Y72" s="113" t="str">
        <f>IF(AND(ABS(Jun!K73)&gt;קריטריונים!$B$2,Jun!B73&gt;קריטריונים!$B$3),Jun!K73,"")</f>
        <v/>
      </c>
      <c r="Z72" s="113" t="str">
        <f>IF(AND(ABS(Jun!J73)&gt;קריטריונים!$B$2,Jun!B73&gt;קריטריונים!$B$3),Jun!J73,"")</f>
        <v/>
      </c>
      <c r="AA72" s="113" t="str">
        <f>IF(AND(ABS(Jun!F73)&gt;קריטריונים!$B$1,Jun!B73&gt;קריטריונים!$B$3),Jun!F73,"")</f>
        <v/>
      </c>
      <c r="AB72" s="113" t="str">
        <f>IF(AND(ABS(Jun!E73)&gt;קריטריונים!$B$1,Jun!B73&gt;קריטריונים!$B$3),Jun!E73,"")</f>
        <v/>
      </c>
      <c r="AC72" s="113" t="str">
        <f>IF(AND(ABS(May!K73)&gt;קריטריונים!$B$2,May!B73&gt;קריטריונים!$B$3),May!K73,"")</f>
        <v/>
      </c>
      <c r="AD72" s="113" t="str">
        <f>IF(AND(ABS(May!J73)&gt;קריטריונים!$B$2,May!B73&gt;קריטריונים!$B$3),May!J73,"")</f>
        <v/>
      </c>
      <c r="AE72" s="113" t="str">
        <f>IF(AND(ABS(May!F73)&gt;קריטריונים!$B$1,May!B73&gt;קריטריונים!$B$3),May!F73,"")</f>
        <v/>
      </c>
      <c r="AF72" s="113" t="str">
        <f>IF(AND(ABS(May!E73)&gt;קריטריונים!$B$1,May!B73&gt;קריטריונים!$B$3),May!E73,"")</f>
        <v/>
      </c>
      <c r="AG72" s="113" t="str">
        <f>IF(AND(ABS(Apr!K73)&gt;קריטריונים!$B$2,Apr!B73&gt;קריטריונים!$B$3),Apr!K73,"")</f>
        <v/>
      </c>
      <c r="AH72" s="113" t="str">
        <f>IF(AND(ABS(Apr!J73)&gt;קריטריונים!$B$2,Apr!B73&gt;קריטריונים!$B$3),Apr!J73,"")</f>
        <v/>
      </c>
      <c r="AI72" s="113" t="str">
        <f>IF(AND(ABS(Apr!F73)&gt;קריטריונים!$B$1,Apr!B73&gt;קריטריונים!$B$3),Apr!F73,"")</f>
        <v/>
      </c>
      <c r="AJ72" s="113" t="str">
        <f>IF(AND(ABS(Apr!E73)&gt;קריטריונים!$B$1,Apr!B73&gt;קריטריונים!$B$3),Apr!E73,"")</f>
        <v/>
      </c>
      <c r="AK72" s="113" t="str">
        <f>IF(AND(ABS(Mar!K73)&gt;קריטריונים!$B$2,Mar!B73&gt;קריטריונים!$B$3),Mar!K73,"")</f>
        <v/>
      </c>
      <c r="AL72" s="113" t="str">
        <f>IF(AND(ABS(Mar!J73)&gt;קריטריונים!$B$2,Mar!B73&gt;קריטריונים!$B$3),Mar!J73,"")</f>
        <v/>
      </c>
      <c r="AM72" s="113" t="str">
        <f>IF(AND(ABS(Mar!F73)&gt;קריטריונים!$B$1,Mar!B73&gt;קריטריונים!$B$3),Mar!F73,"")</f>
        <v/>
      </c>
      <c r="AN72" s="113" t="str">
        <f>IF(AND(ABS(Mar!E73)&gt;קריטריונים!$B$1,Mar!B73&gt;קריטריונים!$B$3),Mar!E73,"")</f>
        <v/>
      </c>
      <c r="AO72" s="113" t="str">
        <f>IF(AND(ABS(Feb!K73)&gt;קריטריונים!$B$2,Feb!B73&gt;קריטריונים!$B$3),Feb!K73,"")</f>
        <v/>
      </c>
      <c r="AP72" s="113" t="str">
        <f>IF(AND(ABS(Feb!J73)&gt;קריטריונים!$B$2,Feb!B73&gt;קריטריונים!$B$3),Feb!J73,"")</f>
        <v/>
      </c>
      <c r="AQ72" s="113" t="str">
        <f>IF(AND(ABS(Feb!F73)&gt;קריטריונים!$B$1,Feb!B73&gt;קריטריונים!$B$3),Feb!F73,"")</f>
        <v/>
      </c>
      <c r="AR72" s="113" t="str">
        <f>IF(AND(ABS(Feb!E73)&gt;קריטריונים!$B$1,Feb!B73&gt;קריטריונים!$B$3),Feb!E73,"")</f>
        <v/>
      </c>
      <c r="AS72" s="113" t="str">
        <f>IF(AND(ABS(Jan!F73)&gt;קריטריונים!$B$1,Jan!B73&gt;קריטריונים!$B$3),Jan!F73,"")</f>
        <v/>
      </c>
      <c r="AT72" s="103" t="str">
        <f>IF(AND(ABS(Jan!E73)&gt;קריטריונים!$B$1,Jan!B73&gt;קריטריונים!$B$3),Jan!E73,"")</f>
        <v/>
      </c>
      <c r="AU72" s="118" t="s">
        <v>60</v>
      </c>
      <c r="AV72" s="4"/>
    </row>
    <row r="73" spans="1:49">
      <c r="A73" s="112" t="str">
        <f>IF(AND(ABS(Dec!K74)&gt;קריטריונים!$B$2,Dec!B74&gt;קריטריונים!$B$3),Dec!K74,"")</f>
        <v/>
      </c>
      <c r="B73" s="113" t="str">
        <f>IF(AND(ABS(Dec!J74)&gt;קריטריונים!$B$2,Dec!B74&gt;קריטריונים!$B$3),Dec!J74,"")</f>
        <v/>
      </c>
      <c r="C73" s="113" t="str">
        <f>IF(AND(ABS(Dec!F74)&gt;קריטריונים!$B$1,Dec!B74&gt;קריטריונים!$B$3),Dec!F74,"")</f>
        <v/>
      </c>
      <c r="D73" s="113" t="str">
        <f>IF(AND(ABS(Dec!E74)&gt;קריטריונים!$B$1,Dec!B74&gt;קריטריונים!$B$3),Dec!E74,"")</f>
        <v/>
      </c>
      <c r="E73" s="113">
        <f>IF(AND(ABS(Nov!K74)&gt;קריטריונים!$B$2,Nov!B74&gt;קריטריונים!$B$3),Nov!K74,"")</f>
        <v>0.6341553183658446</v>
      </c>
      <c r="F73" s="113">
        <f>IF(AND(ABS(Nov!J74)&gt;קריטריונים!$B$2,Nov!B74&gt;קריטריונים!$B$3),Nov!J74,"")</f>
        <v>0.49666284635609759</v>
      </c>
      <c r="G73" s="113">
        <f>IF(AND(ABS(Nov!F74)&gt;קריטריונים!$B$1,Nov!B74&gt;קריטריונים!$B$3),Nov!F74,"")</f>
        <v>1.872411489645958</v>
      </c>
      <c r="H73" s="113">
        <f>IF(AND(ABS(Nov!E74)&gt;קריטריונים!$B$1,Nov!B74&gt;קריטריונים!$B$3),Nov!E74,"")</f>
        <v>0.92998204667863527</v>
      </c>
      <c r="I73" s="113">
        <f>IF(AND(ABS(Oct!K74)&gt;קריטריונים!$B$2,Oct!B74&gt;קריטריונים!$B$3),Oct!K74,"")</f>
        <v>0.48080741230972857</v>
      </c>
      <c r="J73" s="113">
        <f>IF(AND(ABS(Oct!J74)&gt;קריטריונים!$B$2,Oct!B74&gt;קריטריונים!$B$3),Oct!J74,"")</f>
        <v>0.42007140023800038</v>
      </c>
      <c r="K73" s="113">
        <f>IF(AND(ABS(Oct!F74)&gt;קריטריונים!$B$1,Oct!B74&gt;קריטריונים!$B$3),Oct!F74,"")</f>
        <v>0.4522821576763485</v>
      </c>
      <c r="L73" s="113">
        <f>IF(AND(ABS(Oct!E74)&gt;קריטריונים!$B$1,Oct!B74&gt;קריטריונים!$B$3),Oct!E74,"")</f>
        <v>0.36054421768707479</v>
      </c>
      <c r="M73" s="113">
        <f>IF(AND(ABS(Sep!K74)&gt;קריטריונים!$B$2,Sep!B74&gt;קריטריונים!$B$3),Sep!K74,"")</f>
        <v>0.48622047244094491</v>
      </c>
      <c r="N73" s="113">
        <f>IF(AND(ABS(Sep!J74)&gt;קריטריונים!$B$2,Sep!B74&gt;קריטריונים!$B$3),Sep!J74,"")</f>
        <v>0.43168673556461523</v>
      </c>
      <c r="O73" s="113">
        <f>IF(AND(ABS(Sep!F74)&gt;קריטריונים!$B$1,Sep!B74&gt;קריטריונים!$B$3),Sep!F74,"")</f>
        <v>0.3793103448275863</v>
      </c>
      <c r="P73" s="113">
        <f>IF(AND(ABS(Sep!E74)&gt;קריטריונים!$B$1,Sep!B74&gt;קריטריונים!$B$3),Sep!E74,"")</f>
        <v>4.4689495066744023E-2</v>
      </c>
      <c r="Q73" s="113" t="str">
        <f>IF(AND(ABS(Aug!K74)&gt;קריטריונים!$B$2,Aug!B74&gt;קריטריונים!$B$3),Aug!K74,"")</f>
        <v/>
      </c>
      <c r="R73" s="113" t="str">
        <f>IF(AND(ABS(Aug!J74)&gt;קריטריונים!$B$2,Aug!B74&gt;קריטריונים!$B$3),Aug!J74,"")</f>
        <v/>
      </c>
      <c r="S73" s="113" t="str">
        <f>IF(AND(ABS(Aug!F74)&gt;קריטריונים!$B$1,Aug!B74&gt;קריטריונים!$B$3),Aug!F74,"")</f>
        <v/>
      </c>
      <c r="T73" s="113" t="str">
        <f>IF(AND(ABS(Aug!E74)&gt;קריטריונים!$B$1,Aug!B74&gt;קריטריונים!$B$3),Aug!E74,"")</f>
        <v/>
      </c>
      <c r="U73" s="113">
        <f>IF(AND(ABS(Jul!K74)&gt;קריטריונים!$B$2,Jul!B74&gt;קריטריונים!$B$3),Jul!K74,"")</f>
        <v>0.37775268210050794</v>
      </c>
      <c r="V73" s="113">
        <f>IF(AND(ABS(Jul!J74)&gt;קריטריונים!$B$2,Jul!B74&gt;קריטריונים!$B$3),Jul!J74,"")</f>
        <v>0.56893004115226309</v>
      </c>
      <c r="W73" s="113">
        <f>IF(AND(ABS(Jul!F74)&gt;קריטריונים!$B$1,Jul!B74&gt;קריטריונים!$B$3),Jul!F74,"")</f>
        <v>0.2738853503184715</v>
      </c>
      <c r="X73" s="113">
        <f>IF(AND(ABS(Jul!E74)&gt;קריטריונים!$B$1,Jul!B74&gt;קריטריונים!$B$3),Jul!E74,"")</f>
        <v>0.30505709624796085</v>
      </c>
      <c r="Y73" s="113">
        <f>IF(AND(ABS(Jun!K74)&gt;קריטריונים!$B$2,Jun!B74&gt;קריטריונים!$B$3),Jun!K74,"")</f>
        <v>0.49654101369476211</v>
      </c>
      <c r="Z73" s="113">
        <f>IF(AND(ABS(Jun!J74)&gt;קריטריונים!$B$2,Jun!B74&gt;קריטריונים!$B$3),Jun!J74,"")</f>
        <v>0.61832061068702271</v>
      </c>
      <c r="AA73" s="113">
        <f>IF(AND(ABS(Jun!F74)&gt;קריטריונים!$B$1,Jun!B74&gt;קריטריונים!$B$3),Jun!F74,"")</f>
        <v>0.73292558613659531</v>
      </c>
      <c r="AB73" s="113">
        <f>IF(AND(ABS(Jun!E74)&gt;קריטריונים!$B$1,Jun!B74&gt;קריטריונים!$B$3),Jun!E74,"")</f>
        <v>0.67984189723320143</v>
      </c>
      <c r="AC73" s="113">
        <f>IF(AND(ABS(May!K74)&gt;קריטריונים!$B$2,May!B74&gt;קריטריונים!$B$3),May!K74,"")</f>
        <v>0.59099034680014317</v>
      </c>
      <c r="AD73" s="113">
        <f>IF(AND(ABS(May!J74)&gt;קריטריונים!$B$2,May!B74&gt;קריטריונים!$B$3),May!J74,"")</f>
        <v>0.60707836764174794</v>
      </c>
      <c r="AE73" s="113">
        <f>IF(AND(ABS(May!F74)&gt;קריטריונים!$B$1,May!B74&gt;קריטריונים!$B$3),May!F74,"")</f>
        <v>0.61662817551963056</v>
      </c>
      <c r="AF73" s="113">
        <f>IF(AND(ABS(May!E74)&gt;קריטריונים!$B$1,May!B74&gt;קריטריונים!$B$3),May!E74,"")</f>
        <v>0.58610271903323263</v>
      </c>
      <c r="AG73" s="113">
        <f>IF(AND(ABS(Apr!K74)&gt;קריטריונים!$B$2,Apr!B74&gt;קריטריונים!$B$3),Apr!K74,"")</f>
        <v>0.58323632130384162</v>
      </c>
      <c r="AH73" s="113">
        <f>IF(AND(ABS(Apr!J74)&gt;קריטריונים!$B$2,Apr!B74&gt;קריטריונים!$B$3),Apr!J74,"")</f>
        <v>0.61366872330327449</v>
      </c>
      <c r="AI73" s="113">
        <f>IF(AND(ABS(Apr!F74)&gt;קריטריונים!$B$1,Apr!B74&gt;קריטריונים!$B$3),Apr!F74,"")</f>
        <v>0.4218009478672986</v>
      </c>
      <c r="AJ73" s="113">
        <f>IF(AND(ABS(Apr!E74)&gt;קריטריונים!$B$1,Apr!B74&gt;קריטריונים!$B$3),Apr!E74,"")</f>
        <v>0.54373927958833623</v>
      </c>
      <c r="AK73" s="113">
        <f>IF(AND(ABS(Mar!K74)&gt;קריטריונים!$B$2,Mar!B74&gt;קריטריונים!$B$3),Mar!K74,"")</f>
        <v>0.650709805216243</v>
      </c>
      <c r="AL73" s="113">
        <f>IF(AND(ABS(Mar!J74)&gt;קריטריונים!$B$2,Mar!B74&gt;קריטריונים!$B$3),Mar!J74,"")</f>
        <v>0.64041994750656173</v>
      </c>
      <c r="AM73" s="113">
        <f>IF(AND(ABS(Mar!F74)&gt;קריטריונים!$B$1,Mar!B74&gt;קריטריונים!$B$3),Mar!F74,"")</f>
        <v>0.51975683890577495</v>
      </c>
      <c r="AN73" s="113">
        <f>IF(AND(ABS(Mar!E74)&gt;קריטריונים!$B$1,Mar!B74&gt;קריטריונים!$B$3),Mar!E74,"")</f>
        <v>0.83823529411764697</v>
      </c>
      <c r="AO73" s="113" t="str">
        <f>IF(AND(ABS(Feb!K74)&gt;קריטריונים!$B$2,Feb!B74&gt;קריטריונים!$B$3),Feb!K74,"")</f>
        <v/>
      </c>
      <c r="AP73" s="113" t="str">
        <f>IF(AND(ABS(Feb!J74)&gt;קריטריונים!$B$2,Feb!B74&gt;קריטריונים!$B$3),Feb!J74,"")</f>
        <v/>
      </c>
      <c r="AQ73" s="113" t="str">
        <f>IF(AND(ABS(Feb!F74)&gt;קריטריונים!$B$1,Feb!B74&gt;קריטריונים!$B$3),Feb!F74,"")</f>
        <v/>
      </c>
      <c r="AR73" s="113" t="str">
        <f>IF(AND(ABS(Feb!E74)&gt;קריטריונים!$B$1,Feb!B74&gt;קריטריונים!$B$3),Feb!E74,"")</f>
        <v/>
      </c>
      <c r="AS73" s="113" t="str">
        <f>IF(AND(ABS(Jan!F74)&gt;קריטריונים!$B$1,Jan!B74&gt;קריטריונים!$B$3),Jan!F74,"")</f>
        <v/>
      </c>
      <c r="AT73" s="103" t="str">
        <f>IF(AND(ABS(Jan!E74)&gt;קריטריונים!$B$1,Jan!B74&gt;קריטריונים!$B$3),Jan!E74,"")</f>
        <v/>
      </c>
      <c r="AU73" s="118" t="s">
        <v>61</v>
      </c>
      <c r="AV73" s="4"/>
    </row>
    <row r="74" spans="1:49">
      <c r="A74" s="112" t="str">
        <f>IF(AND(ABS(Dec!K75)&gt;קריטריונים!$B$2,Dec!B75&gt;קריטריונים!$B$3),Dec!K75,"")</f>
        <v/>
      </c>
      <c r="B74" s="113" t="str">
        <f>IF(AND(ABS(Dec!J75)&gt;קריטריונים!$B$2,Dec!B75&gt;קריטריונים!$B$3),Dec!J75,"")</f>
        <v/>
      </c>
      <c r="C74" s="113" t="str">
        <f>IF(AND(ABS(Dec!F75)&gt;קריטריונים!$B$1,Dec!B75&gt;קריטריונים!$B$3),Dec!F75,"")</f>
        <v/>
      </c>
      <c r="D74" s="113" t="str">
        <f>IF(AND(ABS(Dec!E75)&gt;קריטריונים!$B$1,Dec!B75&gt;קריטריונים!$B$3),Dec!E75,"")</f>
        <v/>
      </c>
      <c r="E74" s="113">
        <f>IF(AND(ABS(Nov!K75)&gt;קריטריונים!$B$2,Nov!B75&gt;קריטריונים!$B$3),Nov!K75,"")</f>
        <v>0.59258378892322305</v>
      </c>
      <c r="F74" s="113">
        <f>IF(AND(ABS(Nov!J75)&gt;קריטריונים!$B$2,Nov!B75&gt;קריטריונים!$B$3),Nov!J75,"")</f>
        <v>0.69620253164556956</v>
      </c>
      <c r="G74" s="113">
        <f>IF(AND(ABS(Nov!F75)&gt;קריטריונים!$B$1,Nov!B75&gt;קריטריונים!$B$3),Nov!F75,"")</f>
        <v>1.9947916666666665</v>
      </c>
      <c r="H74" s="113">
        <f>IF(AND(ABS(Nov!E75)&gt;קריטריונים!$B$1,Nov!B75&gt;קריטריונים!$B$3),Nov!E75,"")</f>
        <v>0.38387484957882068</v>
      </c>
      <c r="I74" s="113">
        <f>IF(AND(ABS(Oct!K75)&gt;קריטריונים!$B$2,Oct!B75&gt;קריטריונים!$B$3),Oct!K75,"")</f>
        <v>0.45173947161914718</v>
      </c>
      <c r="J74" s="113">
        <f>IF(AND(ABS(Oct!J75)&gt;קריטריונים!$B$2,Oct!B75&gt;קריטריונים!$B$3),Oct!J75,"")</f>
        <v>0.77941647964091065</v>
      </c>
      <c r="K74" s="113">
        <f>IF(AND(ABS(Oct!F75)&gt;קריטריונים!$B$1,Oct!B75&gt;קריטריונים!$B$3),Oct!F75,"")</f>
        <v>0.49647887323943674</v>
      </c>
      <c r="L74" s="113">
        <f>IF(AND(ABS(Oct!E75)&gt;קריטריונים!$B$1,Oct!B75&gt;קריטריונים!$B$3),Oct!E75,"")</f>
        <v>1.3351648351648353</v>
      </c>
      <c r="M74" s="113" t="str">
        <f>IF(AND(ABS(Sep!K75)&gt;קריטריונים!$B$2,Sep!B75&gt;קריטריונים!$B$3),Sep!K75,"")</f>
        <v/>
      </c>
      <c r="N74" s="113" t="str">
        <f>IF(AND(ABS(Sep!J75)&gt;קריטריונים!$B$2,Sep!B75&gt;קריטריונים!$B$3),Sep!J75,"")</f>
        <v/>
      </c>
      <c r="O74" s="113" t="str">
        <f>IF(AND(ABS(Sep!F75)&gt;קריטריונים!$B$1,Sep!B75&gt;קריטריונים!$B$3),Sep!F75,"")</f>
        <v/>
      </c>
      <c r="P74" s="113" t="str">
        <f>IF(AND(ABS(Sep!E75)&gt;קריטריונים!$B$1,Sep!B75&gt;קריטריונים!$B$3),Sep!E75,"")</f>
        <v/>
      </c>
      <c r="Q74" s="113" t="str">
        <f>IF(AND(ABS(Aug!K75)&gt;קריטריונים!$B$2,Aug!B75&gt;קריטריונים!$B$3),Aug!K75,"")</f>
        <v/>
      </c>
      <c r="R74" s="113" t="str">
        <f>IF(AND(ABS(Aug!J75)&gt;קריטריונים!$B$2,Aug!B75&gt;קריטריונים!$B$3),Aug!J75,"")</f>
        <v/>
      </c>
      <c r="S74" s="113" t="str">
        <f>IF(AND(ABS(Aug!F75)&gt;קריטריונים!$B$1,Aug!B75&gt;קריטריונים!$B$3),Aug!F75,"")</f>
        <v/>
      </c>
      <c r="T74" s="113" t="str">
        <f>IF(AND(ABS(Aug!E75)&gt;קריטריונים!$B$1,Aug!B75&gt;קריטריונים!$B$3),Aug!E75,"")</f>
        <v/>
      </c>
      <c r="U74" s="113" t="str">
        <f>IF(AND(ABS(Jul!K75)&gt;קריטריונים!$B$2,Jul!B75&gt;קריטריונים!$B$3),Jul!K75,"")</f>
        <v/>
      </c>
      <c r="V74" s="113" t="str">
        <f>IF(AND(ABS(Jul!J75)&gt;קריטריונים!$B$2,Jul!B75&gt;קריטריונים!$B$3),Jul!J75,"")</f>
        <v/>
      </c>
      <c r="W74" s="113" t="str">
        <f>IF(AND(ABS(Jul!F75)&gt;קריטריונים!$B$1,Jul!B75&gt;קריטריונים!$B$3),Jul!F75,"")</f>
        <v/>
      </c>
      <c r="X74" s="113" t="str">
        <f>IF(AND(ABS(Jul!E75)&gt;קריטריונים!$B$1,Jul!B75&gt;קריטריונים!$B$3),Jul!E75,"")</f>
        <v/>
      </c>
      <c r="Y74" s="113" t="str">
        <f>IF(AND(ABS(Jun!K75)&gt;קריטריונים!$B$2,Jun!B75&gt;קריטריונים!$B$3),Jun!K75,"")</f>
        <v/>
      </c>
      <c r="Z74" s="113" t="str">
        <f>IF(AND(ABS(Jun!J75)&gt;קריטריונים!$B$2,Jun!B75&gt;קריטריונים!$B$3),Jun!J75,"")</f>
        <v/>
      </c>
      <c r="AA74" s="113" t="str">
        <f>IF(AND(ABS(Jun!F75)&gt;קריטריונים!$B$1,Jun!B75&gt;קריטריונים!$B$3),Jun!F75,"")</f>
        <v/>
      </c>
      <c r="AB74" s="113" t="str">
        <f>IF(AND(ABS(Jun!E75)&gt;קריטריונים!$B$1,Jun!B75&gt;קריטריונים!$B$3),Jun!E75,"")</f>
        <v/>
      </c>
      <c r="AC74" s="113" t="str">
        <f>IF(AND(ABS(May!K75)&gt;קריטריונים!$B$2,May!B75&gt;קריטריונים!$B$3),May!K75,"")</f>
        <v/>
      </c>
      <c r="AD74" s="113" t="str">
        <f>IF(AND(ABS(May!J75)&gt;קריטריונים!$B$2,May!B75&gt;קריטריונים!$B$3),May!J75,"")</f>
        <v/>
      </c>
      <c r="AE74" s="113" t="str">
        <f>IF(AND(ABS(May!F75)&gt;קריטריונים!$B$1,May!B75&gt;קריטריונים!$B$3),May!F75,"")</f>
        <v/>
      </c>
      <c r="AF74" s="113" t="str">
        <f>IF(AND(ABS(May!E75)&gt;קריטריונים!$B$1,May!B75&gt;קריטריונים!$B$3),May!E75,"")</f>
        <v/>
      </c>
      <c r="AG74" s="113" t="str">
        <f>IF(AND(ABS(Apr!K75)&gt;קריטריונים!$B$2,Apr!B75&gt;קריטריונים!$B$3),Apr!K75,"")</f>
        <v/>
      </c>
      <c r="AH74" s="113" t="str">
        <f>IF(AND(ABS(Apr!J75)&gt;קריטריונים!$B$2,Apr!B75&gt;קריטריונים!$B$3),Apr!J75,"")</f>
        <v/>
      </c>
      <c r="AI74" s="113" t="str">
        <f>IF(AND(ABS(Apr!F75)&gt;קריטריונים!$B$1,Apr!B75&gt;קריטריונים!$B$3),Apr!F75,"")</f>
        <v/>
      </c>
      <c r="AJ74" s="113" t="str">
        <f>IF(AND(ABS(Apr!E75)&gt;קריטריונים!$B$1,Apr!B75&gt;קריטריונים!$B$3),Apr!E75,"")</f>
        <v/>
      </c>
      <c r="AK74" s="113">
        <f>IF(AND(ABS(Mar!K75)&gt;קריטריונים!$B$2,Mar!B75&gt;קריטריונים!$B$3),Mar!K75,"")</f>
        <v>1.0342117429496072</v>
      </c>
      <c r="AL74" s="113">
        <f>IF(AND(ABS(Mar!J75)&gt;קריטריונים!$B$2,Mar!B75&gt;קריטריונים!$B$3),Mar!J75,"")</f>
        <v>1.350427350427351</v>
      </c>
      <c r="AM74" s="113">
        <f>IF(AND(ABS(Mar!F75)&gt;קריטריונים!$B$1,Mar!B75&gt;קריטריונים!$B$3),Mar!F75,"")</f>
        <v>0.96749358426005116</v>
      </c>
      <c r="AN74" s="113">
        <f>IF(AND(ABS(Mar!E75)&gt;קריטריונים!$B$1,Mar!B75&gt;קריטריונים!$B$3),Mar!E75,"")</f>
        <v>1.5988700564971747</v>
      </c>
      <c r="AO74" s="113" t="str">
        <f>IF(AND(ABS(Feb!K75)&gt;קריטריונים!$B$2,Feb!B75&gt;קריטריונים!$B$3),Feb!K75,"")</f>
        <v/>
      </c>
      <c r="AP74" s="113" t="str">
        <f>IF(AND(ABS(Feb!J75)&gt;קריטריונים!$B$2,Feb!B75&gt;קריטריונים!$B$3),Feb!J75,"")</f>
        <v/>
      </c>
      <c r="AQ74" s="113" t="str">
        <f>IF(AND(ABS(Feb!F75)&gt;קריטריונים!$B$1,Feb!B75&gt;קריטריונים!$B$3),Feb!F75,"")</f>
        <v/>
      </c>
      <c r="AR74" s="113" t="str">
        <f>IF(AND(ABS(Feb!E75)&gt;קריטריונים!$B$1,Feb!B75&gt;קריטריונים!$B$3),Feb!E75,"")</f>
        <v/>
      </c>
      <c r="AS74" s="113" t="str">
        <f>IF(AND(ABS(Jan!F75)&gt;קריטריונים!$B$1,Jan!B75&gt;קריטריונים!$B$3),Jan!F75,"")</f>
        <v/>
      </c>
      <c r="AT74" s="103" t="str">
        <f>IF(AND(ABS(Jan!E75)&gt;קריטריונים!$B$1,Jan!B75&gt;קריטריונים!$B$3),Jan!E75,"")</f>
        <v/>
      </c>
      <c r="AU74" s="118" t="s">
        <v>62</v>
      </c>
      <c r="AV74" s="4"/>
    </row>
    <row r="75" spans="1:49">
      <c r="A75" s="112" t="str">
        <f>IF(AND(ABS(Dec!K76)&gt;קריטריונים!$B$2,Dec!B76&gt;קריטריונים!$B$3),Dec!K76,"")</f>
        <v/>
      </c>
      <c r="B75" s="113" t="str">
        <f>IF(AND(ABS(Dec!J76)&gt;קריטריונים!$B$2,Dec!B76&gt;קריטריונים!$B$3),Dec!J76,"")</f>
        <v/>
      </c>
      <c r="C75" s="113" t="str">
        <f>IF(AND(ABS(Dec!F76)&gt;קריטריונים!$B$1,Dec!B76&gt;קריטריונים!$B$3),Dec!F76,"")</f>
        <v/>
      </c>
      <c r="D75" s="113" t="str">
        <f>IF(AND(ABS(Dec!E76)&gt;קריטריונים!$B$1,Dec!B76&gt;קריטריונים!$B$3),Dec!E76,"")</f>
        <v/>
      </c>
      <c r="E75" s="113">
        <f>IF(AND(ABS(Nov!K76)&gt;קריטריונים!$B$2,Nov!B76&gt;קריטריונים!$B$3),Nov!K76,"")</f>
        <v>0.77914520767841622</v>
      </c>
      <c r="F75" s="113">
        <f>IF(AND(ABS(Nov!J76)&gt;קריטריונים!$B$2,Nov!B76&gt;קריטריונים!$B$3),Nov!J76,"")</f>
        <v>0.6252214822508706</v>
      </c>
      <c r="G75" s="113">
        <f>IF(AND(ABS(Nov!F76)&gt;קריטריונים!$B$1,Nov!B76&gt;קריטריונים!$B$3),Nov!F76,"")</f>
        <v>1.4701195219123511</v>
      </c>
      <c r="H75" s="113">
        <f>IF(AND(ABS(Nov!E76)&gt;קריטריונים!$B$1,Nov!B76&gt;קריטריונים!$B$3),Nov!E76,"")</f>
        <v>0.52409046214355959</v>
      </c>
      <c r="I75" s="113">
        <f>IF(AND(ABS(Oct!K76)&gt;קריטריונים!$B$2,Oct!B76&gt;קריטריונים!$B$3),Oct!K76,"")</f>
        <v>0.71582943925233655</v>
      </c>
      <c r="J75" s="113">
        <f>IF(AND(ABS(Oct!J76)&gt;קריטריונים!$B$2,Oct!B76&gt;קריטריונים!$B$3),Oct!J76,"")</f>
        <v>0.63957301332589123</v>
      </c>
      <c r="K75" s="113">
        <f>IF(AND(ABS(Oct!F76)&gt;קריטריונים!$B$1,Oct!B76&gt;קריטריונים!$B$3),Oct!F76,"")</f>
        <v>1.4251069900142652</v>
      </c>
      <c r="L75" s="113">
        <f>IF(AND(ABS(Oct!E76)&gt;קריטריונים!$B$1,Oct!B76&gt;קריטריונים!$B$3),Oct!E76,"")</f>
        <v>1.4199288256227756</v>
      </c>
      <c r="M75" s="113">
        <f>IF(AND(ABS(Sep!K76)&gt;קריטריונים!$B$2,Sep!B76&gt;קריטריונים!$B$3),Sep!K76,"")</f>
        <v>0.63494387506100547</v>
      </c>
      <c r="N75" s="113">
        <f>IF(AND(ABS(Sep!J76)&gt;קריטריונים!$B$2,Sep!B76&gt;קריטריונים!$B$3),Sep!J76,"")</f>
        <v>0.55476485148514842</v>
      </c>
      <c r="O75" s="113">
        <f>IF(AND(ABS(Sep!F76)&gt;קריטריונים!$B$1,Sep!B76&gt;קריטריונים!$B$3),Sep!F76,"")</f>
        <v>1.4174053182917001</v>
      </c>
      <c r="P75" s="113">
        <f>IF(AND(ABS(Sep!E76)&gt;קריטריונים!$B$1,Sep!B76&gt;קריטריונים!$B$3),Sep!E76,"")</f>
        <v>0.56412930135557882</v>
      </c>
      <c r="Q75" s="113">
        <f>IF(AND(ABS(Aug!K76)&gt;קריטריונים!$B$2,Aug!B76&gt;קריטריונים!$B$3),Aug!K76,"")</f>
        <v>0.54709128743327606</v>
      </c>
      <c r="R75" s="113">
        <f>IF(AND(ABS(Aug!J76)&gt;קריטריונים!$B$2,Aug!B76&gt;קריטריונים!$B$3),Aug!J76,"")</f>
        <v>0.55313351498637586</v>
      </c>
      <c r="S75" s="113">
        <f>IF(AND(ABS(Aug!F76)&gt;קריטריונים!$B$1,Aug!B76&gt;קריטריונים!$B$3),Aug!F76,"")</f>
        <v>0.40296180826188643</v>
      </c>
      <c r="T75" s="113">
        <f>IF(AND(ABS(Aug!E76)&gt;קריטריונים!$B$1,Aug!B76&gt;קריטריונים!$B$3),Aug!E76,"")</f>
        <v>0.20643431635388754</v>
      </c>
      <c r="U75" s="113">
        <f>IF(AND(ABS(Jul!K76)&gt;קריטריונים!$B$2,Jul!B76&gt;קריטריונים!$B$3),Jul!K76,"")</f>
        <v>0.38423957296661526</v>
      </c>
      <c r="V75" s="113">
        <f>IF(AND(ABS(Jul!J76)&gt;קריטריונים!$B$2,Jul!B76&gt;קריטריונים!$B$3),Jul!J76,"")</f>
        <v>0.60748056314351762</v>
      </c>
      <c r="W75" s="113">
        <f>IF(AND(ABS(Jul!F76)&gt;קריטריונים!$B$1,Jul!B76&gt;קריטריונים!$B$3),Jul!F76,"")</f>
        <v>0.18733509234828505</v>
      </c>
      <c r="X75" s="113">
        <f>IF(AND(ABS(Jul!E76)&gt;קריטריונים!$B$1,Jul!B76&gt;קריטריונים!$B$3),Jul!E76,"")</f>
        <v>0.35135135135135132</v>
      </c>
      <c r="Y75" s="113">
        <f>IF(AND(ABS(Jun!K76)&gt;קריטריונים!$B$2,Jun!B76&gt;קריטריונים!$B$3),Jun!K76,"")</f>
        <v>0.60504101771489727</v>
      </c>
      <c r="Z75" s="113">
        <f>IF(AND(ABS(Jun!J76)&gt;קריטריונים!$B$2,Jun!B76&gt;קריטריונים!$B$3),Jun!J76,"")</f>
        <v>0.64915709748350836</v>
      </c>
      <c r="AA75" s="113">
        <f>IF(AND(ABS(Jun!F76)&gt;קריטריונים!$B$1,Jun!B76&gt;קריטריונים!$B$3),Jun!F76,"")</f>
        <v>0.49253731343283569</v>
      </c>
      <c r="AB75" s="113">
        <f>IF(AND(ABS(Jun!E76)&gt;קריטריונים!$B$1,Jun!B76&gt;קריטריונים!$B$3),Jun!E76,"")</f>
        <v>0.87125748502993994</v>
      </c>
      <c r="AC75" s="113">
        <f>IF(AND(ABS(May!K76)&gt;קריטריונים!$B$2,May!B76&gt;קריטריונים!$B$3),May!K76,"")</f>
        <v>0.67198662410700716</v>
      </c>
      <c r="AD75" s="113">
        <f>IF(AND(ABS(May!J76)&gt;קריטריונים!$B$2,May!B76&gt;קריטריונים!$B$3),May!J76,"")</f>
        <v>0.6058394160583942</v>
      </c>
      <c r="AE75" s="113">
        <f>IF(AND(ABS(May!F76)&gt;קריטריונים!$B$1,May!B76&gt;קריטריונים!$B$3),May!F76,"")</f>
        <v>1.0509193776520509</v>
      </c>
      <c r="AF75" s="113">
        <f>IF(AND(ABS(May!E76)&gt;קריטריונים!$B$1,May!B76&gt;קריטריונים!$B$3),May!E76,"")</f>
        <v>0.82389937106918221</v>
      </c>
      <c r="AG75" s="113">
        <f>IF(AND(ABS(Apr!K76)&gt;קריטריונים!$B$2,Apr!B76&gt;קריטריונים!$B$3),Apr!K76,"")</f>
        <v>0.56824782187802514</v>
      </c>
      <c r="AH75" s="113">
        <f>IF(AND(ABS(Apr!J76)&gt;קריטריונים!$B$2,Apr!B76&gt;קריטריונים!$B$3),Apr!J76,"")</f>
        <v>0.53992395437262353</v>
      </c>
      <c r="AI75" s="113">
        <f>IF(AND(ABS(Apr!F76)&gt;קריטריונים!$B$1,Apr!B76&gt;קריטריונים!$B$3),Apr!F76,"")</f>
        <v>0.22815304676428916</v>
      </c>
      <c r="AJ75" s="113">
        <f>IF(AND(ABS(Apr!E76)&gt;קריטריונים!$B$1,Apr!B76&gt;קריטריונים!$B$3),Apr!E76,"")</f>
        <v>0.57958687727825042</v>
      </c>
      <c r="AK75" s="113">
        <f>IF(AND(ABS(Mar!K76)&gt;קריטריונים!$B$2,Mar!B76&gt;קריטריונים!$B$3),Mar!K76,"")</f>
        <v>0.8044619422572179</v>
      </c>
      <c r="AL75" s="113">
        <f>IF(AND(ABS(Mar!J76)&gt;קריטריונים!$B$2,Mar!B76&gt;קריטריונים!$B$3),Mar!J76,"")</f>
        <v>0.52185943552850023</v>
      </c>
      <c r="AM75" s="113">
        <f>IF(AND(ABS(Mar!F76)&gt;קריטריונים!$B$1,Mar!B76&gt;קריטריונים!$B$3),Mar!F76,"")</f>
        <v>0.69811320754716988</v>
      </c>
      <c r="AN75" s="113">
        <f>IF(AND(ABS(Mar!E76)&gt;קריטריונים!$B$1,Mar!B76&gt;קריטריונים!$B$3),Mar!E76,"")</f>
        <v>0.32061628760088046</v>
      </c>
      <c r="AO75" s="113">
        <f>IF(AND(ABS(Feb!K76)&gt;קריטריונים!$B$2,Feb!B76&gt;קריטריונים!$B$3),Feb!K76,"")</f>
        <v>0.86116700201207252</v>
      </c>
      <c r="AP75" s="113">
        <f>IF(AND(ABS(Feb!J76)&gt;קריטריונים!$B$2,Feb!B76&gt;קריטריונים!$B$3),Feb!J76,"")</f>
        <v>0.64371390493114178</v>
      </c>
      <c r="AQ75" s="113">
        <f>IF(AND(ABS(Feb!F76)&gt;קריטריונים!$B$1,Feb!B76&gt;קריטריונים!$B$3),Feb!F76,"")</f>
        <v>0.7751479289940828</v>
      </c>
      <c r="AR75" s="113">
        <f>IF(AND(ABS(Feb!E76)&gt;קריטריונים!$B$1,Feb!B76&gt;קריטריונים!$B$3),Feb!E76,"")</f>
        <v>0.54905335628227214</v>
      </c>
      <c r="AS75" s="113">
        <f>IF(AND(ABS(Jan!F76)&gt;קריטריונים!$B$1,Jan!B76&gt;קריטריונים!$B$3),Jan!F76,"")</f>
        <v>0.95071868583162211</v>
      </c>
      <c r="AT75" s="103">
        <f>IF(AND(ABS(Jan!E76)&gt;קריטריונים!$B$1,Jan!B76&gt;קריטריונים!$B$3),Jan!E76,"")</f>
        <v>0.74471992653810837</v>
      </c>
      <c r="AU75" s="118" t="s">
        <v>63</v>
      </c>
      <c r="AV75" s="4"/>
    </row>
    <row r="76" spans="1:49">
      <c r="A76" s="112" t="str">
        <f>IF(AND(ABS(Dec!K77)&gt;קריטריונים!$B$2,Dec!B77&gt;קריטריונים!$B$3),Dec!K77,"")</f>
        <v/>
      </c>
      <c r="B76" s="113" t="str">
        <f>IF(AND(ABS(Dec!J77)&gt;קריטריונים!$B$2,Dec!B77&gt;קריטריונים!$B$3),Dec!J77,"")</f>
        <v/>
      </c>
      <c r="C76" s="113" t="str">
        <f>IF(AND(ABS(Dec!F77)&gt;קריטריונים!$B$1,Dec!B77&gt;קריטריונים!$B$3),Dec!F77,"")</f>
        <v/>
      </c>
      <c r="D76" s="113" t="str">
        <f>IF(AND(ABS(Dec!E77)&gt;קריטריונים!$B$1,Dec!B77&gt;קריטריונים!$B$3),Dec!E77,"")</f>
        <v/>
      </c>
      <c r="E76" s="113" t="str">
        <f>IF(AND(ABS(Nov!K77)&gt;קריטריונים!$B$2,Nov!B77&gt;קריטריונים!$B$3),Nov!K77,"")</f>
        <v/>
      </c>
      <c r="F76" s="113" t="str">
        <f>IF(AND(ABS(Nov!J77)&gt;קריטריונים!$B$2,Nov!B77&gt;קריטריונים!$B$3),Nov!J77,"")</f>
        <v/>
      </c>
      <c r="G76" s="113" t="str">
        <f>IF(AND(ABS(Nov!F77)&gt;קריטריונים!$B$1,Nov!B77&gt;קריטריונים!$B$3),Nov!F77,"")</f>
        <v/>
      </c>
      <c r="H76" s="113" t="str">
        <f>IF(AND(ABS(Nov!E77)&gt;קריטריונים!$B$1,Nov!B77&gt;קריטריונים!$B$3),Nov!E77,"")</f>
        <v/>
      </c>
      <c r="I76" s="113" t="str">
        <f>IF(AND(ABS(Oct!K77)&gt;קריטריונים!$B$2,Oct!B77&gt;קריטריונים!$B$3),Oct!K77,"")</f>
        <v/>
      </c>
      <c r="J76" s="113" t="str">
        <f>IF(AND(ABS(Oct!J77)&gt;קריטריונים!$B$2,Oct!B77&gt;קריטריונים!$B$3),Oct!J77,"")</f>
        <v/>
      </c>
      <c r="K76" s="113" t="str">
        <f>IF(AND(ABS(Oct!F77)&gt;קריטריונים!$B$1,Oct!B77&gt;קריטריונים!$B$3),Oct!F77,"")</f>
        <v/>
      </c>
      <c r="L76" s="113" t="str">
        <f>IF(AND(ABS(Oct!E77)&gt;קריטריונים!$B$1,Oct!B77&gt;קריטריונים!$B$3),Oct!E77,"")</f>
        <v/>
      </c>
      <c r="M76" s="113" t="str">
        <f>IF(AND(ABS(Sep!K77)&gt;קריטריונים!$B$2,Sep!B77&gt;קריטריונים!$B$3),Sep!K77,"")</f>
        <v/>
      </c>
      <c r="N76" s="113" t="str">
        <f>IF(AND(ABS(Sep!J77)&gt;קריטריונים!$B$2,Sep!B77&gt;קריטריונים!$B$3),Sep!J77,"")</f>
        <v/>
      </c>
      <c r="O76" s="113" t="str">
        <f>IF(AND(ABS(Sep!F77)&gt;קריטריונים!$B$1,Sep!B77&gt;קריטריונים!$B$3),Sep!F77,"")</f>
        <v/>
      </c>
      <c r="P76" s="113" t="str">
        <f>IF(AND(ABS(Sep!E77)&gt;קריטריונים!$B$1,Sep!B77&gt;קריטריונים!$B$3),Sep!E77,"")</f>
        <v/>
      </c>
      <c r="Q76" s="113" t="str">
        <f>IF(AND(ABS(Aug!K77)&gt;קריטריונים!$B$2,Aug!B77&gt;קריטריונים!$B$3),Aug!K77,"")</f>
        <v/>
      </c>
      <c r="R76" s="113" t="str">
        <f>IF(AND(ABS(Aug!J77)&gt;קריטריונים!$B$2,Aug!B77&gt;קריטריונים!$B$3),Aug!J77,"")</f>
        <v/>
      </c>
      <c r="S76" s="113" t="str">
        <f>IF(AND(ABS(Aug!F77)&gt;קריטריונים!$B$1,Aug!B77&gt;קריטריונים!$B$3),Aug!F77,"")</f>
        <v/>
      </c>
      <c r="T76" s="113" t="str">
        <f>IF(AND(ABS(Aug!E77)&gt;קריטריונים!$B$1,Aug!B77&gt;קריטריונים!$B$3),Aug!E77,"")</f>
        <v/>
      </c>
      <c r="U76" s="113" t="str">
        <f>IF(AND(ABS(Jul!K77)&gt;קריטריונים!$B$2,Jul!B77&gt;קריטריונים!$B$3),Jul!K77,"")</f>
        <v/>
      </c>
      <c r="V76" s="113" t="str">
        <f>IF(AND(ABS(Jul!J77)&gt;קריטריונים!$B$2,Jul!B77&gt;קריטריונים!$B$3),Jul!J77,"")</f>
        <v/>
      </c>
      <c r="W76" s="113" t="str">
        <f>IF(AND(ABS(Jul!F77)&gt;קריטריונים!$B$1,Jul!B77&gt;קריטריונים!$B$3),Jul!F77,"")</f>
        <v/>
      </c>
      <c r="X76" s="113" t="str">
        <f>IF(AND(ABS(Jul!E77)&gt;קריטריונים!$B$1,Jul!B77&gt;קריטריונים!$B$3),Jul!E77,"")</f>
        <v/>
      </c>
      <c r="Y76" s="113" t="str">
        <f>IF(AND(ABS(Jun!K77)&gt;קריטריונים!$B$2,Jun!B77&gt;קריטריונים!$B$3),Jun!K77,"")</f>
        <v/>
      </c>
      <c r="Z76" s="113" t="str">
        <f>IF(AND(ABS(Jun!J77)&gt;קריטריונים!$B$2,Jun!B77&gt;קריטריונים!$B$3),Jun!J77,"")</f>
        <v/>
      </c>
      <c r="AA76" s="113" t="str">
        <f>IF(AND(ABS(Jun!F77)&gt;קריטריונים!$B$1,Jun!B77&gt;קריטריונים!$B$3),Jun!F77,"")</f>
        <v/>
      </c>
      <c r="AB76" s="113" t="str">
        <f>IF(AND(ABS(Jun!E77)&gt;קריטריונים!$B$1,Jun!B77&gt;קריטריונים!$B$3),Jun!E77,"")</f>
        <v/>
      </c>
      <c r="AC76" s="113" t="str">
        <f>IF(AND(ABS(May!K77)&gt;קריטריונים!$B$2,May!B77&gt;קריטריונים!$B$3),May!K77,"")</f>
        <v/>
      </c>
      <c r="AD76" s="113" t="str">
        <f>IF(AND(ABS(May!J77)&gt;קריטריונים!$B$2,May!B77&gt;קריטריונים!$B$3),May!J77,"")</f>
        <v/>
      </c>
      <c r="AE76" s="113" t="str">
        <f>IF(AND(ABS(May!F77)&gt;קריטריונים!$B$1,May!B77&gt;קריטריונים!$B$3),May!F77,"")</f>
        <v/>
      </c>
      <c r="AF76" s="113" t="str">
        <f>IF(AND(ABS(May!E77)&gt;קריטריונים!$B$1,May!B77&gt;קריטריונים!$B$3),May!E77,"")</f>
        <v/>
      </c>
      <c r="AG76" s="113" t="str">
        <f>IF(AND(ABS(Apr!K77)&gt;קריטריונים!$B$2,Apr!B77&gt;קריטריונים!$B$3),Apr!K77,"")</f>
        <v/>
      </c>
      <c r="AH76" s="113" t="str">
        <f>IF(AND(ABS(Apr!J77)&gt;קריטריונים!$B$2,Apr!B77&gt;קריטריונים!$B$3),Apr!J77,"")</f>
        <v/>
      </c>
      <c r="AI76" s="113" t="str">
        <f>IF(AND(ABS(Apr!F77)&gt;קריטריונים!$B$1,Apr!B77&gt;קריטריונים!$B$3),Apr!F77,"")</f>
        <v/>
      </c>
      <c r="AJ76" s="113" t="str">
        <f>IF(AND(ABS(Apr!E77)&gt;קריטריונים!$B$1,Apr!B77&gt;קריטריונים!$B$3),Apr!E77,"")</f>
        <v/>
      </c>
      <c r="AK76" s="113" t="str">
        <f>IF(AND(ABS(Mar!K77)&gt;קריטריונים!$B$2,Mar!B77&gt;קריטריונים!$B$3),Mar!K77,"")</f>
        <v/>
      </c>
      <c r="AL76" s="113" t="str">
        <f>IF(AND(ABS(Mar!J77)&gt;קריטריונים!$B$2,Mar!B77&gt;קריטריונים!$B$3),Mar!J77,"")</f>
        <v/>
      </c>
      <c r="AM76" s="113" t="str">
        <f>IF(AND(ABS(Mar!F77)&gt;קריטריונים!$B$1,Mar!B77&gt;קריטריונים!$B$3),Mar!F77,"")</f>
        <v/>
      </c>
      <c r="AN76" s="113" t="str">
        <f>IF(AND(ABS(Mar!E77)&gt;קריטריונים!$B$1,Mar!B77&gt;קריטריונים!$B$3),Mar!E77,"")</f>
        <v/>
      </c>
      <c r="AO76" s="113" t="str">
        <f>IF(AND(ABS(Feb!K77)&gt;קריטריונים!$B$2,Feb!B77&gt;קריטריונים!$B$3),Feb!K77,"")</f>
        <v/>
      </c>
      <c r="AP76" s="113" t="str">
        <f>IF(AND(ABS(Feb!J77)&gt;קריטריונים!$B$2,Feb!B77&gt;קריטריונים!$B$3),Feb!J77,"")</f>
        <v/>
      </c>
      <c r="AQ76" s="113" t="str">
        <f>IF(AND(ABS(Feb!F77)&gt;קריטריונים!$B$1,Feb!B77&gt;קריטריונים!$B$3),Feb!F77,"")</f>
        <v/>
      </c>
      <c r="AR76" s="113" t="str">
        <f>IF(AND(ABS(Feb!E77)&gt;קריטריונים!$B$1,Feb!B77&gt;קריטריונים!$B$3),Feb!E77,"")</f>
        <v/>
      </c>
      <c r="AS76" s="113" t="str">
        <f>IF(AND(ABS(Jan!F77)&gt;קריטריונים!$B$1,Jan!B77&gt;קריטריונים!$B$3),Jan!F77,"")</f>
        <v/>
      </c>
      <c r="AT76" s="103" t="str">
        <f>IF(AND(ABS(Jan!E77)&gt;קריטריונים!$B$1,Jan!B77&gt;קריטריונים!$B$3),Jan!E77,"")</f>
        <v/>
      </c>
      <c r="AU76" s="118" t="s">
        <v>64</v>
      </c>
      <c r="AV76" s="4"/>
    </row>
    <row r="77" spans="1:49">
      <c r="A77" s="112" t="str">
        <f>IF(AND(ABS(Dec!K78)&gt;קריטריונים!$B$2,Dec!B78&gt;קריטריונים!$B$3),Dec!K78,"")</f>
        <v/>
      </c>
      <c r="B77" s="113" t="str">
        <f>IF(AND(ABS(Dec!J78)&gt;קריטריונים!$B$2,Dec!B78&gt;קריטריונים!$B$3),Dec!J78,"")</f>
        <v/>
      </c>
      <c r="C77" s="113" t="str">
        <f>IF(AND(ABS(Dec!F78)&gt;קריטריונים!$B$1,Dec!B78&gt;קריטריונים!$B$3),Dec!F78,"")</f>
        <v/>
      </c>
      <c r="D77" s="113" t="str">
        <f>IF(AND(ABS(Dec!E78)&gt;קריטריונים!$B$1,Dec!B78&gt;קריטריונים!$B$3),Dec!E78,"")</f>
        <v/>
      </c>
      <c r="E77" s="113" t="str">
        <f>IF(AND(ABS(Nov!K78)&gt;קריטריונים!$B$2,Nov!B78&gt;קריטריונים!$B$3),Nov!K78,"")</f>
        <v/>
      </c>
      <c r="F77" s="113" t="str">
        <f>IF(AND(ABS(Nov!J78)&gt;קריטריונים!$B$2,Nov!B78&gt;קריטריונים!$B$3),Nov!J78,"")</f>
        <v/>
      </c>
      <c r="G77" s="113" t="str">
        <f>IF(AND(ABS(Nov!F78)&gt;קריטריונים!$B$1,Nov!B78&gt;קריטריונים!$B$3),Nov!F78,"")</f>
        <v/>
      </c>
      <c r="H77" s="113" t="str">
        <f>IF(AND(ABS(Nov!E78)&gt;קריטריונים!$B$1,Nov!B78&gt;קריטריונים!$B$3),Nov!E78,"")</f>
        <v/>
      </c>
      <c r="I77" s="113" t="str">
        <f>IF(AND(ABS(Oct!K78)&gt;קריטריונים!$B$2,Oct!B78&gt;קריטריונים!$B$3),Oct!K78,"")</f>
        <v/>
      </c>
      <c r="J77" s="113" t="str">
        <f>IF(AND(ABS(Oct!J78)&gt;קריטריונים!$B$2,Oct!B78&gt;קריטריונים!$B$3),Oct!J78,"")</f>
        <v/>
      </c>
      <c r="K77" s="113" t="str">
        <f>IF(AND(ABS(Oct!F78)&gt;קריטריונים!$B$1,Oct!B78&gt;קריטריונים!$B$3),Oct!F78,"")</f>
        <v/>
      </c>
      <c r="L77" s="113" t="str">
        <f>IF(AND(ABS(Oct!E78)&gt;קריטריונים!$B$1,Oct!B78&gt;קריטריונים!$B$3),Oct!E78,"")</f>
        <v/>
      </c>
      <c r="M77" s="113" t="str">
        <f>IF(AND(ABS(Sep!K78)&gt;קריטריונים!$B$2,Sep!B78&gt;קריטריונים!$B$3),Sep!K78,"")</f>
        <v/>
      </c>
      <c r="N77" s="113" t="str">
        <f>IF(AND(ABS(Sep!J78)&gt;קריטריונים!$B$2,Sep!B78&gt;קריטריונים!$B$3),Sep!J78,"")</f>
        <v/>
      </c>
      <c r="O77" s="113" t="str">
        <f>IF(AND(ABS(Sep!F78)&gt;קריטריונים!$B$1,Sep!B78&gt;קריטריונים!$B$3),Sep!F78,"")</f>
        <v/>
      </c>
      <c r="P77" s="113" t="str">
        <f>IF(AND(ABS(Sep!E78)&gt;קריטריונים!$B$1,Sep!B78&gt;קריטריונים!$B$3),Sep!E78,"")</f>
        <v/>
      </c>
      <c r="Q77" s="113" t="str">
        <f>IF(AND(ABS(Aug!K78)&gt;קריטריונים!$B$2,Aug!B78&gt;קריטריונים!$B$3),Aug!K78,"")</f>
        <v/>
      </c>
      <c r="R77" s="113" t="str">
        <f>IF(AND(ABS(Aug!J78)&gt;קריטריונים!$B$2,Aug!B78&gt;קריטריונים!$B$3),Aug!J78,"")</f>
        <v/>
      </c>
      <c r="S77" s="113" t="str">
        <f>IF(AND(ABS(Aug!F78)&gt;קריטריונים!$B$1,Aug!B78&gt;קריטריונים!$B$3),Aug!F78,"")</f>
        <v/>
      </c>
      <c r="T77" s="113" t="str">
        <f>IF(AND(ABS(Aug!E78)&gt;קריטריונים!$B$1,Aug!B78&gt;קריטריונים!$B$3),Aug!E78,"")</f>
        <v/>
      </c>
      <c r="U77" s="113" t="str">
        <f>IF(AND(ABS(Jul!K78)&gt;קריטריונים!$B$2,Jul!B78&gt;קריטריונים!$B$3),Jul!K78,"")</f>
        <v/>
      </c>
      <c r="V77" s="113" t="str">
        <f>IF(AND(ABS(Jul!J78)&gt;קריטריונים!$B$2,Jul!B78&gt;קריטריונים!$B$3),Jul!J78,"")</f>
        <v/>
      </c>
      <c r="W77" s="113" t="str">
        <f>IF(AND(ABS(Jul!F78)&gt;קריטריונים!$B$1,Jul!B78&gt;קריטריונים!$B$3),Jul!F78,"")</f>
        <v/>
      </c>
      <c r="X77" s="113" t="str">
        <f>IF(AND(ABS(Jul!E78)&gt;קריטריונים!$B$1,Jul!B78&gt;קריטריונים!$B$3),Jul!E78,"")</f>
        <v/>
      </c>
      <c r="Y77" s="113" t="str">
        <f>IF(AND(ABS(Jun!K78)&gt;קריטריונים!$B$2,Jun!B78&gt;קריטריונים!$B$3),Jun!K78,"")</f>
        <v/>
      </c>
      <c r="Z77" s="113" t="str">
        <f>IF(AND(ABS(Jun!J78)&gt;קריטריונים!$B$2,Jun!B78&gt;קריטריונים!$B$3),Jun!J78,"")</f>
        <v/>
      </c>
      <c r="AA77" s="113" t="str">
        <f>IF(AND(ABS(Jun!F78)&gt;קריטריונים!$B$1,Jun!B78&gt;קריטריונים!$B$3),Jun!F78,"")</f>
        <v/>
      </c>
      <c r="AB77" s="113" t="str">
        <f>IF(AND(ABS(Jun!E78)&gt;קריטריונים!$B$1,Jun!B78&gt;קריטריונים!$B$3),Jun!E78,"")</f>
        <v/>
      </c>
      <c r="AC77" s="113" t="str">
        <f>IF(AND(ABS(May!K78)&gt;קריטריונים!$B$2,May!B78&gt;קריטריונים!$B$3),May!K78,"")</f>
        <v/>
      </c>
      <c r="AD77" s="113" t="str">
        <f>IF(AND(ABS(May!J78)&gt;קריטריונים!$B$2,May!B78&gt;קריטריונים!$B$3),May!J78,"")</f>
        <v/>
      </c>
      <c r="AE77" s="113" t="str">
        <f>IF(AND(ABS(May!F78)&gt;קריטריונים!$B$1,May!B78&gt;קריטריונים!$B$3),May!F78,"")</f>
        <v/>
      </c>
      <c r="AF77" s="113" t="str">
        <f>IF(AND(ABS(May!E78)&gt;קריטריונים!$B$1,May!B78&gt;קריטריונים!$B$3),May!E78,"")</f>
        <v/>
      </c>
      <c r="AG77" s="113" t="str">
        <f>IF(AND(ABS(Apr!K78)&gt;קריטריונים!$B$2,Apr!B78&gt;קריטריונים!$B$3),Apr!K78,"")</f>
        <v/>
      </c>
      <c r="AH77" s="113" t="str">
        <f>IF(AND(ABS(Apr!J78)&gt;קריטריונים!$B$2,Apr!B78&gt;קריטריונים!$B$3),Apr!J78,"")</f>
        <v/>
      </c>
      <c r="AI77" s="113" t="str">
        <f>IF(AND(ABS(Apr!F78)&gt;קריטריונים!$B$1,Apr!B78&gt;קריטריונים!$B$3),Apr!F78,"")</f>
        <v/>
      </c>
      <c r="AJ77" s="113" t="str">
        <f>IF(AND(ABS(Apr!E78)&gt;קריטריונים!$B$1,Apr!B78&gt;קריטריונים!$B$3),Apr!E78,"")</f>
        <v/>
      </c>
      <c r="AK77" s="113" t="str">
        <f>IF(AND(ABS(Mar!K78)&gt;קריטריונים!$B$2,Mar!B78&gt;קריטריונים!$B$3),Mar!K78,"")</f>
        <v/>
      </c>
      <c r="AL77" s="113" t="str">
        <f>IF(AND(ABS(Mar!J78)&gt;קריטריונים!$B$2,Mar!B78&gt;קריטריונים!$B$3),Mar!J78,"")</f>
        <v/>
      </c>
      <c r="AM77" s="113" t="str">
        <f>IF(AND(ABS(Mar!F78)&gt;קריטריונים!$B$1,Mar!B78&gt;קריטריונים!$B$3),Mar!F78,"")</f>
        <v/>
      </c>
      <c r="AN77" s="113" t="str">
        <f>IF(AND(ABS(Mar!E78)&gt;קריטריונים!$B$1,Mar!B78&gt;קריטריונים!$B$3),Mar!E78,"")</f>
        <v/>
      </c>
      <c r="AO77" s="113" t="str">
        <f>IF(AND(ABS(Feb!K78)&gt;קריטריונים!$B$2,Feb!B78&gt;קריטריונים!$B$3),Feb!K78,"")</f>
        <v/>
      </c>
      <c r="AP77" s="113" t="str">
        <f>IF(AND(ABS(Feb!J78)&gt;קריטריונים!$B$2,Feb!B78&gt;קריטריונים!$B$3),Feb!J78,"")</f>
        <v/>
      </c>
      <c r="AQ77" s="113" t="str">
        <f>IF(AND(ABS(Feb!F78)&gt;קריטריונים!$B$1,Feb!B78&gt;קריטריונים!$B$3),Feb!F78,"")</f>
        <v/>
      </c>
      <c r="AR77" s="113" t="str">
        <f>IF(AND(ABS(Feb!E78)&gt;קריטריונים!$B$1,Feb!B78&gt;קריטריונים!$B$3),Feb!E78,"")</f>
        <v/>
      </c>
      <c r="AS77" s="113" t="str">
        <f>IF(AND(ABS(Jan!F78)&gt;קריטריונים!$B$1,Jan!B78&gt;קריטריונים!$B$3),Jan!F78,"")</f>
        <v/>
      </c>
      <c r="AT77" s="103" t="str">
        <f>IF(AND(ABS(Jan!E78)&gt;קריטריונים!$B$1,Jan!B78&gt;קריטריונים!$B$3),Jan!E78,"")</f>
        <v/>
      </c>
      <c r="AU77" s="118"/>
      <c r="AV77" s="4"/>
    </row>
    <row r="78" spans="1:49">
      <c r="A78" s="112" t="str">
        <f>IF(AND(ABS(Dec!K79)&gt;קריטריונים!$B$2,Dec!B79&gt;קריטריונים!$B$3),Dec!K79,"")</f>
        <v/>
      </c>
      <c r="B78" s="113" t="str">
        <f>IF(AND(ABS(Dec!J79)&gt;קריטריונים!$B$2,Dec!B79&gt;קריטריונים!$B$3),Dec!J79,"")</f>
        <v/>
      </c>
      <c r="C78" s="113" t="str">
        <f>IF(AND(ABS(Dec!F79)&gt;קריטריונים!$B$1,Dec!B79&gt;קריטריונים!$B$3),Dec!F79,"")</f>
        <v/>
      </c>
      <c r="D78" s="113" t="str">
        <f>IF(AND(ABS(Dec!E79)&gt;קריטריונים!$B$1,Dec!B79&gt;קריטריונים!$B$3),Dec!E79,"")</f>
        <v/>
      </c>
      <c r="E78" s="113">
        <f>IF(AND(ABS(Nov!K79)&gt;קריטריונים!$B$2,Nov!B79&gt;קריטריונים!$B$3),Nov!K79,"")</f>
        <v>0.25621351482949972</v>
      </c>
      <c r="F78" s="113">
        <f>IF(AND(ABS(Nov!J79)&gt;קריטריונים!$B$2,Nov!B79&gt;קריטריונים!$B$3),Nov!J79,"")</f>
        <v>0.23632811471481929</v>
      </c>
      <c r="G78" s="113">
        <f>IF(AND(ABS(Nov!F79)&gt;קריטריונים!$B$1,Nov!B79&gt;קריטריונים!$B$3),Nov!F79,"")</f>
        <v>0.51120287010085996</v>
      </c>
      <c r="H78" s="113">
        <f>IF(AND(ABS(Nov!E79)&gt;קריטריונים!$B$1,Nov!B79&gt;קריטריונים!$B$3),Nov!E79,"")</f>
        <v>0.18192045529746537</v>
      </c>
      <c r="I78" s="113">
        <f>IF(AND(ABS(Oct!K79)&gt;קריטריונים!$B$2,Oct!B79&gt;קריטריונים!$B$3),Oct!K79,"")</f>
        <v>0.23432761245192268</v>
      </c>
      <c r="J78" s="113">
        <f>IF(AND(ABS(Oct!J79)&gt;קריטריונים!$B$2,Oct!B79&gt;קריטריונים!$B$3),Oct!J79,"")</f>
        <v>0.24233772347240556</v>
      </c>
      <c r="K78" s="113">
        <f>IF(AND(ABS(Oct!F79)&gt;קריטריונים!$B$1,Oct!B79&gt;קריטריונים!$B$3),Oct!F79,"")</f>
        <v>0.46113779341135075</v>
      </c>
      <c r="L78" s="113">
        <f>IF(AND(ABS(Oct!E79)&gt;קריטריונים!$B$1,Oct!B79&gt;קריטריונים!$B$3),Oct!E79,"")</f>
        <v>0.56701150592707572</v>
      </c>
      <c r="M78" s="113">
        <f>IF(AND(ABS(Sep!K79)&gt;קריטריונים!$B$2,Sep!B79&gt;קריטריונים!$B$3),Sep!K79,"")</f>
        <v>0.20704832912162763</v>
      </c>
      <c r="N78" s="113">
        <f>IF(AND(ABS(Sep!J79)&gt;קריטריונים!$B$2,Sep!B79&gt;קריטריונים!$B$3),Sep!J79,"")</f>
        <v>0.20595923994329501</v>
      </c>
      <c r="O78" s="113">
        <f>IF(AND(ABS(Sep!F79)&gt;קריטריונים!$B$1,Sep!B79&gt;קריטריונים!$B$3),Sep!F79,"")</f>
        <v>0.1773123455184078</v>
      </c>
      <c r="P78" s="113">
        <f>IF(AND(ABS(Sep!E79)&gt;קריטריונים!$B$1,Sep!B79&gt;קריטריונים!$B$3),Sep!E79,"")</f>
        <v>5.1271254120141219E-2</v>
      </c>
      <c r="Q78" s="113">
        <f>IF(AND(ABS(Aug!K79)&gt;קריטריונים!$B$2,Aug!B79&gt;קריטריונים!$B$3),Aug!K79,"")</f>
        <v>0.21035473483033518</v>
      </c>
      <c r="R78" s="113">
        <f>IF(AND(ABS(Aug!J79)&gt;קריטריונים!$B$2,Aug!B79&gt;קריטריונים!$B$3),Aug!J79,"")</f>
        <v>0.22546192811624155</v>
      </c>
      <c r="S78" s="113">
        <f>IF(AND(ABS(Aug!F79)&gt;קריטריונים!$B$1,Aug!B79&gt;קריטריונים!$B$3),Aug!F79,"")</f>
        <v>0.13535208408164534</v>
      </c>
      <c r="T78" s="113">
        <f>IF(AND(ABS(Aug!E79)&gt;קריטריונים!$B$1,Aug!B79&gt;קריטריונים!$B$3),Aug!E79,"")</f>
        <v>0.33448364477403714</v>
      </c>
      <c r="U78" s="113">
        <f>IF(AND(ABS(Jul!K79)&gt;קריטריונים!$B$2,Jul!B79&gt;קריטריונים!$B$3),Jul!K79,"")</f>
        <v>7.8904496972304949E-2</v>
      </c>
      <c r="V78" s="113">
        <f>IF(AND(ABS(Jul!J79)&gt;קריטריונים!$B$2,Jul!B79&gt;קריטריונים!$B$3),Jul!J79,"")</f>
        <v>0.21338444175571669</v>
      </c>
      <c r="W78" s="113">
        <f>IF(AND(ABS(Jul!F79)&gt;קריטריונים!$B$1,Jul!B79&gt;קריטריונים!$B$3),Jul!F79,"")</f>
        <v>0.16174802858875958</v>
      </c>
      <c r="X78" s="113">
        <f>IF(AND(ABS(Jul!E79)&gt;קריטריונים!$B$1,Jul!B79&gt;קריטריונים!$B$3),Jul!E79,"")</f>
        <v>0.20666748846064298</v>
      </c>
      <c r="Y78" s="113">
        <f>IF(AND(ABS(Jun!K79)&gt;קריטריונים!$B$2,Jun!B79&gt;קריטריונים!$B$3),Jun!K79,"")</f>
        <v>0.19807027296968793</v>
      </c>
      <c r="Z78" s="113">
        <f>IF(AND(ABS(Jun!J79)&gt;קריטריונים!$B$2,Jun!B79&gt;קריטריונים!$B$3),Jun!J79,"")</f>
        <v>0.21455556245432894</v>
      </c>
      <c r="AA78" s="113">
        <f>IF(AND(ABS(Jun!F79)&gt;קריטריונים!$B$1,Jun!B79&gt;קריטריונים!$B$3),Jun!F79,"")</f>
        <v>0.29962818431927807</v>
      </c>
      <c r="AB78" s="113">
        <f>IF(AND(ABS(Jun!E79)&gt;קריטריונים!$B$1,Jun!B79&gt;קריטריונים!$B$3),Jun!E79,"")</f>
        <v>0.34818848367605271</v>
      </c>
      <c r="AC78" s="113">
        <f>IF(AND(ABS(May!K79)&gt;קריטריונים!$B$2,May!B79&gt;קריטריונים!$B$3),May!K79,"")</f>
        <v>0.21260223766023234</v>
      </c>
      <c r="AD78" s="113">
        <f>IF(AND(ABS(May!J79)&gt;קריטריונים!$B$2,May!B79&gt;קריטריונים!$B$3),May!J79,"")</f>
        <v>0.18115171993839052</v>
      </c>
      <c r="AE78" s="113">
        <f>IF(AND(ABS(May!F79)&gt;קריטריונים!$B$1,May!B79&gt;קריטריונים!$B$3),May!F79,"")</f>
        <v>0.30258800441555267</v>
      </c>
      <c r="AF78" s="113">
        <f>IF(AND(ABS(May!E79)&gt;קריטריונים!$B$1,May!B79&gt;קריטריונים!$B$3),May!E79,"")</f>
        <v>9.5647329488594668E-2</v>
      </c>
      <c r="AG78" s="113">
        <f>IF(AND(ABS(Apr!K79)&gt;קריטריונים!$B$2,Apr!B79&gt;קריטריונים!$B$3),Apr!K79,"")</f>
        <v>0.18263185630308043</v>
      </c>
      <c r="AH78" s="113">
        <f>IF(AND(ABS(Apr!J79)&gt;קריטריונים!$B$2,Apr!B79&gt;קריטריונים!$B$3),Apr!J79,"")</f>
        <v>0.21596250047252452</v>
      </c>
      <c r="AI78" s="113">
        <f>IF(AND(ABS(Apr!F79)&gt;קריטריונים!$B$1,Apr!B79&gt;קריטריונים!$B$3),Apr!F79,"")</f>
        <v>0.20890601468054215</v>
      </c>
      <c r="AJ78" s="113">
        <f>IF(AND(ABS(Apr!E79)&gt;קריטריונים!$B$1,Apr!B79&gt;קריטריונים!$B$3),Apr!E79,"")</f>
        <v>0.47829838067427666</v>
      </c>
      <c r="AK78" s="113">
        <f>IF(AND(ABS(Mar!K79)&gt;קריטריונים!$B$2,Mar!B79&gt;קריטריונים!$B$3),Mar!K79,"")</f>
        <v>0.1713133438541119</v>
      </c>
      <c r="AL78" s="113">
        <f>IF(AND(ABS(Mar!J79)&gt;קריטריונים!$B$2,Mar!B79&gt;קריטריונים!$B$3),Mar!J79,"")</f>
        <v>0.12703938451501884</v>
      </c>
      <c r="AM78" s="113">
        <f>IF(AND(ABS(Mar!F79)&gt;קריטריונים!$B$1,Mar!B79&gt;קריטריונים!$B$3),Mar!F79,"")</f>
        <v>8.8154269972451571E-2</v>
      </c>
      <c r="AN78" s="113">
        <f>IF(AND(ABS(Mar!E79)&gt;קריטריונים!$B$1,Mar!B79&gt;קריטריונים!$B$3),Mar!E79,"")</f>
        <v>6.1035666318459691E-2</v>
      </c>
      <c r="AO78" s="113">
        <f>IF(AND(ABS(Feb!K79)&gt;קריטריונים!$B$2,Feb!B79&gt;קריטריונים!$B$3),Feb!K79,"")</f>
        <v>0.22269503546099312</v>
      </c>
      <c r="AP78" s="113">
        <f>IF(AND(ABS(Feb!J79)&gt;קריטריונים!$B$2,Feb!B79&gt;קריטריונים!$B$3),Feb!J79,"")</f>
        <v>0.16695697692259115</v>
      </c>
      <c r="AQ78" s="113">
        <f>IF(AND(ABS(Feb!F79)&gt;קריטריונים!$B$1,Feb!B79&gt;קריטריונים!$B$3),Feb!F79,"")</f>
        <v>0.19154764234005084</v>
      </c>
      <c r="AR78" s="113">
        <f>IF(AND(ABS(Feb!E79)&gt;קריטריונים!$B$1,Feb!B79&gt;קריטריונים!$B$3),Feb!E79,"")</f>
        <v>0.14010783285906858</v>
      </c>
      <c r="AS78" s="113">
        <f>IF(AND(ABS(Jan!F79)&gt;קריטריונים!$B$1,Jan!B79&gt;קריטריונים!$B$3),Jan!F79,"")</f>
        <v>0.25183016105417289</v>
      </c>
      <c r="AT78" s="103">
        <f>IF(AND(ABS(Jan!E79)&gt;קריטריונים!$B$1,Jan!B79&gt;קריטריונים!$B$3),Jan!E79,"")</f>
        <v>0.19194911562254968</v>
      </c>
      <c r="AU78" s="118" t="s">
        <v>65</v>
      </c>
      <c r="AV78" s="4"/>
    </row>
    <row r="79" spans="1:49">
      <c r="A79" s="112" t="str">
        <f>IF(AND(ABS(Dec!K80)&gt;קריטריונים!$B$2,Dec!B80&gt;קריטריונים!$B$3),Dec!K80,"")</f>
        <v/>
      </c>
      <c r="B79" s="113" t="str">
        <f>IF(AND(ABS(Dec!J80)&gt;קריטריונים!$B$2,Dec!B80&gt;קריטריונים!$B$3),Dec!J80,"")</f>
        <v/>
      </c>
      <c r="C79" s="113" t="str">
        <f>IF(AND(ABS(Dec!F80)&gt;קריטריונים!$B$1,Dec!B80&gt;קריטריונים!$B$3),Dec!F80,"")</f>
        <v/>
      </c>
      <c r="D79" s="113" t="str">
        <f>IF(AND(ABS(Dec!E80)&gt;קריטריונים!$B$1,Dec!B80&gt;קריטריונים!$B$3),Dec!E80,"")</f>
        <v/>
      </c>
      <c r="E79" s="113">
        <f>IF(AND(ABS(Nov!K80)&gt;קריטריונים!$B$2,Nov!B80&gt;קריטריונים!$B$3),Nov!K80,"")</f>
        <v>0.25501163540527672</v>
      </c>
      <c r="F79" s="113">
        <f>IF(AND(ABS(Nov!J80)&gt;קריטריונים!$B$2,Nov!B80&gt;קריטריונים!$B$3),Nov!J80,"")</f>
        <v>0.21121105885416935</v>
      </c>
      <c r="G79" s="113">
        <f>IF(AND(ABS(Nov!F80)&gt;קריטריונים!$B$1,Nov!B80&gt;קריטריונים!$B$3),Nov!F80,"")</f>
        <v>0.47909678290821511</v>
      </c>
      <c r="H79" s="113">
        <f>IF(AND(ABS(Nov!E80)&gt;קריטריונים!$B$1,Nov!B80&gt;קריטריונים!$B$3),Nov!E80,"")</f>
        <v>0.16704561602955814</v>
      </c>
      <c r="I79" s="113">
        <f>IF(AND(ABS(Oct!K80)&gt;קריטריונים!$B$2,Oct!B80&gt;קריטריונים!$B$3),Oct!K80,"")</f>
        <v>0.23609746642774487</v>
      </c>
      <c r="J79" s="113">
        <f>IF(AND(ABS(Oct!J80)&gt;קריטריונים!$B$2,Oct!B80&gt;קריטריונים!$B$3),Oct!J80,"")</f>
        <v>0.21585830624676428</v>
      </c>
      <c r="K79" s="113">
        <f>IF(AND(ABS(Oct!F80)&gt;קריטריונים!$B$1,Oct!B80&gt;קריטריונים!$B$3),Oct!F80,"")</f>
        <v>0.45997745208568208</v>
      </c>
      <c r="L79" s="113">
        <f>IF(AND(ABS(Oct!E80)&gt;קריטריונים!$B$1,Oct!B80&gt;קריטריונים!$B$3),Oct!E80,"")</f>
        <v>0.52901588051242698</v>
      </c>
      <c r="M79" s="113">
        <f>IF(AND(ABS(Sep!K80)&gt;קריטריונים!$B$2,Sep!B80&gt;קריטריונים!$B$3),Sep!K80,"")</f>
        <v>0.2109091754697876</v>
      </c>
      <c r="N79" s="113">
        <f>IF(AND(ABS(Sep!J80)&gt;קריטריונים!$B$2,Sep!B80&gt;קריטריונים!$B$3),Sep!J80,"")</f>
        <v>0.18299201149947542</v>
      </c>
      <c r="O79" s="113">
        <f>IF(AND(ABS(Sep!F80)&gt;קריטריונים!$B$1,Sep!B80&gt;קריטריונים!$B$3),Sep!F80,"")</f>
        <v>0.10679485231884378</v>
      </c>
      <c r="P79" s="113">
        <f>IF(AND(ABS(Sep!E80)&gt;קריטריונים!$B$1,Sep!B80&gt;קריטריונים!$B$3),Sep!E80,"")</f>
        <v>-7.4924588887806953E-3</v>
      </c>
      <c r="Q79" s="113">
        <f>IF(AND(ABS(Aug!K80)&gt;קריטריונים!$B$2,Aug!B80&gt;קריטריונים!$B$3),Aug!K80,"")</f>
        <v>0.22214571124758176</v>
      </c>
      <c r="R79" s="113">
        <f>IF(AND(ABS(Aug!J80)&gt;קריטריונים!$B$2,Aug!B80&gt;קריטריונים!$B$3),Aug!J80,"")</f>
        <v>0.20560706636384007</v>
      </c>
      <c r="S79" s="113">
        <f>IF(AND(ABS(Aug!F80)&gt;קריטריונים!$B$1,Aug!B80&gt;קריטריונים!$B$3),Aug!F80,"")</f>
        <v>0.12121687313783913</v>
      </c>
      <c r="T79" s="113">
        <f>IF(AND(ABS(Aug!E80)&gt;קריטריונים!$B$1,Aug!B80&gt;קריטריונים!$B$3),Aug!E80,"")</f>
        <v>0.33308473944252825</v>
      </c>
      <c r="U79" s="113">
        <f>IF(AND(ABS(Jul!K80)&gt;קריטריונים!$B$2,Jul!B80&gt;קריטריונים!$B$3),Jul!K80,"")</f>
        <v>8.8173433203577067E-2</v>
      </c>
      <c r="V79" s="113">
        <f>IF(AND(ABS(Jul!J80)&gt;קריטריונים!$B$2,Jul!B80&gt;קריטריונים!$B$3),Jul!J80,"")</f>
        <v>0.19157841822196797</v>
      </c>
      <c r="W79" s="113">
        <f>IF(AND(ABS(Jul!F80)&gt;קריטריונים!$B$1,Jul!B80&gt;קריטריונים!$B$3),Jul!F80,"")</f>
        <v>0.13853672356399183</v>
      </c>
      <c r="X79" s="113">
        <f>IF(AND(ABS(Jul!E80)&gt;קריטריונים!$B$1,Jul!B80&gt;קריטריונים!$B$3),Jul!E80,"")</f>
        <v>0.15018603319977086</v>
      </c>
      <c r="Y79" s="113">
        <f>IF(AND(ABS(Jun!K80)&gt;קריטריונים!$B$2,Jun!B80&gt;קריטריונים!$B$3),Jun!K80,"")</f>
        <v>0.2231229203396512</v>
      </c>
      <c r="Z79" s="113">
        <f>IF(AND(ABS(Jun!J80)&gt;קריטריונים!$B$2,Jun!B80&gt;קריטריונים!$B$3),Jun!J80,"")</f>
        <v>0.19850658235503693</v>
      </c>
      <c r="AA79" s="113">
        <f>IF(AND(ABS(Jun!F80)&gt;קריטריונים!$B$1,Jun!B80&gt;קריטריונים!$B$3),Jun!F80,"")</f>
        <v>0.28708209072359137</v>
      </c>
      <c r="AB79" s="113">
        <f>IF(AND(ABS(Jun!E80)&gt;קריטריונים!$B$1,Jun!B80&gt;קריטריונים!$B$3),Jun!E80,"")</f>
        <v>0.30393928442356355</v>
      </c>
      <c r="AC79" s="113">
        <f>IF(AND(ABS(May!K80)&gt;קריטריונים!$B$2,May!B80&gt;קריטריונים!$B$3),May!K80,"")</f>
        <v>0.24347885364161681</v>
      </c>
      <c r="AD79" s="113">
        <f>IF(AND(ABS(May!J80)&gt;קריטריונים!$B$2,May!B80&gt;קריטריונים!$B$3),May!J80,"")</f>
        <v>0.17096637766969769</v>
      </c>
      <c r="AE79" s="113">
        <f>IF(AND(ABS(May!F80)&gt;קריטריונים!$B$1,May!B80&gt;קריטריונים!$B$3),May!F80,"")</f>
        <v>0.28867223321588886</v>
      </c>
      <c r="AF79" s="113">
        <f>IF(AND(ABS(May!E80)&gt;קריטריונים!$B$1,May!B80&gt;קריטריונים!$B$3),May!E80,"")</f>
        <v>4.5528115699890348E-2</v>
      </c>
      <c r="AG79" s="113">
        <f>IF(AND(ABS(Apr!K80)&gt;קריטריונים!$B$2,Apr!B80&gt;קריטריונים!$B$3),Apr!K80,"")</f>
        <v>0.2284749818399352</v>
      </c>
      <c r="AH79" s="113">
        <f>IF(AND(ABS(Apr!J80)&gt;קריטריונים!$B$2,Apr!B80&gt;קריטריונים!$B$3),Apr!J80,"")</f>
        <v>0.22202622574543596</v>
      </c>
      <c r="AI79" s="113">
        <f>IF(AND(ABS(Apr!F80)&gt;קריטריונים!$B$1,Apr!B80&gt;קריטריונים!$B$3),Apr!F80,"")</f>
        <v>0.23091722037159079</v>
      </c>
      <c r="AJ79" s="113">
        <f>IF(AND(ABS(Apr!E80)&gt;קריטריונים!$B$1,Apr!B80&gt;קריטריונים!$B$3),Apr!E80,"")</f>
        <v>0.42450729776531682</v>
      </c>
      <c r="AK79" s="113">
        <f>IF(AND(ABS(Mar!K80)&gt;קריטריונים!$B$2,Mar!B80&gt;קריטריונים!$B$3),Mar!K80,"")</f>
        <v>0.22742911196381055</v>
      </c>
      <c r="AL79" s="113">
        <f>IF(AND(ABS(Mar!J80)&gt;קריטריונים!$B$2,Mar!B80&gt;קריטריונים!$B$3),Mar!J80,"")</f>
        <v>0.15172078107999765</v>
      </c>
      <c r="AM79" s="113">
        <f>IF(AND(ABS(Mar!F80)&gt;קריטריונים!$B$1,Mar!B80&gt;קריטריונים!$B$3),Mar!F80,"")</f>
        <v>0.23005060334760596</v>
      </c>
      <c r="AN79" s="113">
        <f>IF(AND(ABS(Mar!E80)&gt;קריטריונים!$B$1,Mar!B80&gt;קריטריונים!$B$3),Mar!E80,"")</f>
        <v>0.16889842420655476</v>
      </c>
      <c r="AO79" s="113">
        <f>IF(AND(ABS(Feb!K80)&gt;קריטריונים!$B$2,Feb!B80&gt;קריטריונים!$B$3),Feb!K80,"")</f>
        <v>0.22573927007665584</v>
      </c>
      <c r="AP79" s="113">
        <f>IF(AND(ABS(Feb!J80)&gt;קריטריונים!$B$2,Feb!B80&gt;קריטריונים!$B$3),Feb!J80,"")</f>
        <v>0.14087533280396114</v>
      </c>
      <c r="AQ79" s="113">
        <f>IF(AND(ABS(Feb!F80)&gt;קריטריונים!$B$1,Feb!B80&gt;קריטריונים!$B$3),Feb!F80,"")</f>
        <v>0.19127777490029541</v>
      </c>
      <c r="AR79" s="113">
        <f>IF(AND(ABS(Feb!E80)&gt;קריטריונים!$B$1,Feb!B80&gt;קריטריונים!$B$3),Feb!E80,"")</f>
        <v>0.11520558572536865</v>
      </c>
      <c r="AS79" s="113">
        <f>IF(AND(ABS(Jan!F80)&gt;קריטריונים!$B$1,Jan!B80&gt;קריטריונים!$B$3),Jan!F80,"")</f>
        <v>0.25812182123476024</v>
      </c>
      <c r="AT79" s="103">
        <f>IF(AND(ABS(Jan!E80)&gt;קריטריונים!$B$1,Jan!B80&gt;קריטריונים!$B$3),Jan!E80,"")</f>
        <v>0.16472920609173669</v>
      </c>
      <c r="AU79" s="118" t="s">
        <v>66</v>
      </c>
      <c r="AV79" s="4"/>
    </row>
    <row r="80" spans="1:49">
      <c r="A80" s="112" t="str">
        <f>IF(AND(ABS(Dec!K81)&gt;קריטריונים!$B$2,Dec!B81&gt;קריטריונים!$B$3),Dec!K81,"")</f>
        <v/>
      </c>
      <c r="B80" s="113" t="str">
        <f>IF(AND(ABS(Dec!J81)&gt;קריטריונים!$B$2,Dec!B81&gt;קריטריונים!$B$3),Dec!J81,"")</f>
        <v/>
      </c>
      <c r="C80" s="113" t="str">
        <f>IF(AND(ABS(Dec!F81)&gt;קריטריונים!$B$1,Dec!B81&gt;קריטריונים!$B$3),Dec!F81,"")</f>
        <v/>
      </c>
      <c r="D80" s="113" t="str">
        <f>IF(AND(ABS(Dec!E81)&gt;קריטריונים!$B$1,Dec!B81&gt;קריטריונים!$B$3),Dec!E81,"")</f>
        <v/>
      </c>
      <c r="E80" s="113">
        <f>IF(AND(ABS(Nov!K81)&gt;קריטריונים!$B$2,Nov!B81&gt;קריטריונים!$B$3),Nov!K81,"")</f>
        <v>0.26331351006282944</v>
      </c>
      <c r="F80" s="113">
        <f>IF(AND(ABS(Nov!J81)&gt;קריטריונים!$B$2,Nov!B81&gt;קריטריונים!$B$3),Nov!J81,"")</f>
        <v>0.2671452161898018</v>
      </c>
      <c r="G80" s="113">
        <f>IF(AND(ABS(Nov!F81)&gt;קריטריונים!$B$1,Nov!B81&gt;קריטריונים!$B$3),Nov!F81,"")</f>
        <v>0.46935348446683456</v>
      </c>
      <c r="H80" s="113">
        <f>IF(AND(ABS(Nov!E81)&gt;קריטריונים!$B$1,Nov!B81&gt;קריטריונים!$B$3),Nov!E81,"")</f>
        <v>8.0580426057425214E-2</v>
      </c>
      <c r="I80" s="113">
        <f>IF(AND(ABS(Oct!K81)&gt;קריטריונים!$B$2,Oct!B81&gt;קריטריונים!$B$3),Oct!K81,"")</f>
        <v>0.24538913845367194</v>
      </c>
      <c r="J80" s="113">
        <f>IF(AND(ABS(Oct!J81)&gt;קריטריונים!$B$2,Oct!B81&gt;קריטריונים!$B$3),Oct!J81,"")</f>
        <v>0.29000529620942705</v>
      </c>
      <c r="K80" s="113">
        <f>IF(AND(ABS(Oct!F81)&gt;קריטריונים!$B$1,Oct!B81&gt;קריטריונים!$B$3),Oct!F81,"")</f>
        <v>0.47699004975124359</v>
      </c>
      <c r="L80" s="113">
        <f>IF(AND(ABS(Oct!E81)&gt;קריטריונים!$B$1,Oct!B81&gt;קריטריונים!$B$3),Oct!E81,"")</f>
        <v>0.62615542622389597</v>
      </c>
      <c r="M80" s="113">
        <f>IF(AND(ABS(Sep!K81)&gt;קריטריונים!$B$2,Sep!B81&gt;קריטריונים!$B$3),Sep!K81,"")</f>
        <v>0.21456652182909153</v>
      </c>
      <c r="N80" s="113">
        <f>IF(AND(ABS(Sep!J81)&gt;קריטריונים!$B$2,Sep!B81&gt;קריטריונים!$B$3),Sep!J81,"")</f>
        <v>0.24824565134181076</v>
      </c>
      <c r="O80" s="113">
        <f>IF(AND(ABS(Sep!F81)&gt;קריטריונים!$B$1,Sep!B81&gt;קריטריונים!$B$3),Sep!F81,"")</f>
        <v>0.24393843558928952</v>
      </c>
      <c r="P80" s="113">
        <f>IF(AND(ABS(Sep!E81)&gt;קריטריונים!$B$1,Sep!B81&gt;קריטריונים!$B$3),Sep!E81,"")</f>
        <v>0.15731659474303661</v>
      </c>
      <c r="Q80" s="113">
        <f>IF(AND(ABS(Aug!K81)&gt;קריטריונים!$B$2,Aug!B81&gt;קריטריונים!$B$3),Aug!K81,"")</f>
        <v>0.21137036272283005</v>
      </c>
      <c r="R80" s="113">
        <f>IF(AND(ABS(Aug!J81)&gt;קריטריונים!$B$2,Aug!B81&gt;קריטריונים!$B$3),Aug!J81,"")</f>
        <v>0.25930165998855159</v>
      </c>
      <c r="S80" s="113">
        <f>IF(AND(ABS(Aug!F81)&gt;קריטריונים!$B$1,Aug!B81&gt;קריטריונים!$B$3),Aug!F81,"")</f>
        <v>0.1117287381878822</v>
      </c>
      <c r="T80" s="113">
        <f>IF(AND(ABS(Aug!E81)&gt;קריטריונים!$B$1,Aug!B81&gt;קריטריונים!$B$3),Aug!E81,"")</f>
        <v>0.38089758342922897</v>
      </c>
      <c r="U80" s="113">
        <f>IF(AND(ABS(Jul!K81)&gt;קריטריונים!$B$2,Jul!B81&gt;קריטריונים!$B$3),Jul!K81,"")</f>
        <v>7.3714639686144778E-2</v>
      </c>
      <c r="V80" s="113">
        <f>IF(AND(ABS(Jul!J81)&gt;קריטריונים!$B$2,Jul!B81&gt;קריטריונים!$B$3),Jul!J81,"")</f>
        <v>0.24524386025596656</v>
      </c>
      <c r="W80" s="113">
        <f>IF(AND(ABS(Jul!F81)&gt;קריטריונים!$B$1,Jul!B81&gt;קריטריונים!$B$3),Jul!F81,"")</f>
        <v>0.29351644841903557</v>
      </c>
      <c r="X80" s="113">
        <f>IF(AND(ABS(Jul!E81)&gt;קריטריונים!$B$1,Jul!B81&gt;קריטריונים!$B$3),Jul!E81,"")</f>
        <v>0.41114982578397208</v>
      </c>
      <c r="Y80" s="113">
        <f>IF(AND(ABS(Jun!K81)&gt;קריטריונים!$B$2,Jun!B81&gt;קריטריונים!$B$3),Jun!K81,"")</f>
        <v>0.16904301594973403</v>
      </c>
      <c r="Z80" s="113">
        <f>IF(AND(ABS(Jun!J81)&gt;קריטריונים!$B$2,Jun!B81&gt;קריטריונים!$B$3),Jun!J81,"")</f>
        <v>0.21533775084005868</v>
      </c>
      <c r="AA80" s="113">
        <f>IF(AND(ABS(Jun!F81)&gt;קריטריונים!$B$1,Jun!B81&gt;קריטריונים!$B$3),Jun!F81,"")</f>
        <v>0.15713566996478279</v>
      </c>
      <c r="AB80" s="113">
        <f>IF(AND(ABS(Jun!E81)&gt;קריטריונים!$B$1,Jun!B81&gt;קריטריונים!$B$3),Jun!E81,"")</f>
        <v>0.27001656543346231</v>
      </c>
      <c r="AC80" s="113">
        <f>IF(AND(ABS(May!K81)&gt;קריטריונים!$B$2,May!B81&gt;קריטריונים!$B$3),May!K81,"")</f>
        <v>0.22472559214326959</v>
      </c>
      <c r="AD80" s="113">
        <f>IF(AND(ABS(May!J81)&gt;קריטריונים!$B$2,May!B81&gt;קריטריונים!$B$3),May!J81,"")</f>
        <v>0.20408936009087442</v>
      </c>
      <c r="AE80" s="113">
        <f>IF(AND(ABS(May!F81)&gt;קריטריונים!$B$1,May!B81&gt;קריטריונים!$B$3),May!F81,"")</f>
        <v>0.37062162536342247</v>
      </c>
      <c r="AF80" s="113">
        <f>IF(AND(ABS(May!E81)&gt;קריטריונים!$B$1,May!B81&gt;קריטריונים!$B$3),May!E81,"")</f>
        <v>0.19018994950709311</v>
      </c>
      <c r="AG80" s="113">
        <f>IF(AND(ABS(Apr!K81)&gt;קריטריונים!$B$2,Apr!B81&gt;קריטריונים!$B$3),Apr!K81,"")</f>
        <v>0.16849855938533764</v>
      </c>
      <c r="AH80" s="113">
        <f>IF(AND(ABS(Apr!J81)&gt;קריטריונים!$B$2,Apr!B81&gt;קריטריונים!$B$3),Apr!J81,"")</f>
        <v>0.21047977006411656</v>
      </c>
      <c r="AI80" s="113">
        <f>IF(AND(ABS(Apr!F81)&gt;קריטריונים!$B$1,Apr!B81&gt;קריטריונים!$B$3),Apr!F81,"")</f>
        <v>0.1802748585286984</v>
      </c>
      <c r="AJ80" s="113">
        <f>IF(AND(ABS(Apr!E81)&gt;קריטריונים!$B$1,Apr!B81&gt;קריטריונים!$B$3),Apr!E81,"")</f>
        <v>0.41692546583850931</v>
      </c>
      <c r="AK80" s="113">
        <f>IF(AND(ABS(Mar!K81)&gt;קריטריונים!$B$2,Mar!B81&gt;קריטריונים!$B$3),Mar!K81,"")</f>
        <v>0.16269809667914314</v>
      </c>
      <c r="AL80" s="113">
        <f>IF(AND(ABS(Mar!J81)&gt;קריטריונים!$B$2,Mar!B81&gt;קריטריונים!$B$3),Mar!J81,"")</f>
        <v>0.12828438948995347</v>
      </c>
      <c r="AM80" s="113">
        <f>IF(AND(ABS(Mar!F81)&gt;קריטריונים!$B$1,Mar!B81&gt;קריטריונים!$B$3),Mar!F81,"")</f>
        <v>0.15336096593980897</v>
      </c>
      <c r="AN80" s="113">
        <f>IF(AND(ABS(Mar!E81)&gt;קריטריונים!$B$1,Mar!B81&gt;קריטריונים!$B$3),Mar!E81,"")</f>
        <v>0.1782032400589102</v>
      </c>
      <c r="AO80" s="113">
        <f>IF(AND(ABS(Feb!K81)&gt;קריטריונים!$B$2,Feb!B81&gt;קריטריונים!$B$3),Feb!K81,"")</f>
        <v>0.17009132420091322</v>
      </c>
      <c r="AP80" s="113">
        <f>IF(AND(ABS(Feb!J81)&gt;קריטריונים!$B$2,Feb!B81&gt;קריטריונים!$B$3),Feb!J81,"")</f>
        <v>9.2168353755993415E-2</v>
      </c>
      <c r="AQ80" s="113">
        <f>IF(AND(ABS(Feb!F81)&gt;קריטריונים!$B$1,Feb!B81&gt;קריטריונים!$B$3),Feb!F81,"")</f>
        <v>0.11168562564632878</v>
      </c>
      <c r="AR80" s="113">
        <f>IF(AND(ABS(Feb!E81)&gt;קריטריונים!$B$1,Feb!B81&gt;קריטריונים!$B$3),Feb!E81,"")</f>
        <v>4.98046875E-2</v>
      </c>
      <c r="AS80" s="113">
        <f>IF(AND(ABS(Jan!F81)&gt;קריטריונים!$B$1,Jan!B81&gt;קריטריונים!$B$3),Jan!F81,"")</f>
        <v>0.2420382165605095</v>
      </c>
      <c r="AT80" s="103">
        <f>IF(AND(ABS(Jan!E81)&gt;קריטריונים!$B$1,Jan!B81&gt;קריטריונים!$B$3),Jan!E81,"")</f>
        <v>0.14302461899179364</v>
      </c>
      <c r="AU80" s="118" t="s">
        <v>67</v>
      </c>
      <c r="AV80" s="4"/>
    </row>
    <row r="81" spans="1:48">
      <c r="A81" s="112" t="str">
        <f>IF(AND(ABS(Dec!K82)&gt;קריטריונים!$B$2,Dec!B82&gt;קריטריונים!$B$3),Dec!K82,"")</f>
        <v/>
      </c>
      <c r="B81" s="113" t="str">
        <f>IF(AND(ABS(Dec!J82)&gt;קריטריונים!$B$2,Dec!B82&gt;קריטריונים!$B$3),Dec!J82,"")</f>
        <v/>
      </c>
      <c r="C81" s="113" t="str">
        <f>IF(AND(ABS(Dec!F82)&gt;קריטריונים!$B$1,Dec!B82&gt;קריטריונים!$B$3),Dec!F82,"")</f>
        <v/>
      </c>
      <c r="D81" s="113" t="str">
        <f>IF(AND(ABS(Dec!E82)&gt;קריטריונים!$B$1,Dec!B82&gt;קריטריונים!$B$3),Dec!E82,"")</f>
        <v/>
      </c>
      <c r="E81" s="113">
        <f>IF(AND(ABS(Nov!K82)&gt;קריטריונים!$B$2,Nov!B82&gt;קריטריונים!$B$3),Nov!K82,"")</f>
        <v>0.22314049586776852</v>
      </c>
      <c r="F81" s="113">
        <f>IF(AND(ABS(Nov!J82)&gt;קריטריונים!$B$2,Nov!B82&gt;קריטריונים!$B$3),Nov!J82,"")</f>
        <v>0.35979419331128271</v>
      </c>
      <c r="G81" s="113">
        <f>IF(AND(ABS(Nov!F82)&gt;קריטריונים!$B$1,Nov!B82&gt;קריטריונים!$B$3),Nov!F82,"")</f>
        <v>0.82440136830102628</v>
      </c>
      <c r="H81" s="113">
        <f>IF(AND(ABS(Nov!E82)&gt;קריטריונים!$B$1,Nov!B82&gt;קריטריונים!$B$3),Nov!E82,"")</f>
        <v>0.41405214317277972</v>
      </c>
      <c r="I81" s="113">
        <f>IF(AND(ABS(Oct!K82)&gt;קריטריונים!$B$2,Oct!B82&gt;קריטריונים!$B$3),Oct!K82,"")</f>
        <v>0.16883785592914879</v>
      </c>
      <c r="J81" s="113">
        <f>IF(AND(ABS(Oct!J82)&gt;קריטריונים!$B$2,Oct!B82&gt;קריטריונים!$B$3),Oct!J82,"")</f>
        <v>0.35247855100095338</v>
      </c>
      <c r="K81" s="113">
        <f>IF(AND(ABS(Oct!F82)&gt;קריטריונים!$B$1,Oct!B82&gt;קריטריונים!$B$3),Oct!F82,"")</f>
        <v>3.3344448149374983E-4</v>
      </c>
      <c r="L81" s="113">
        <f>IF(AND(ABS(Oct!E82)&gt;קריטריונים!$B$1,Oct!B82&gt;קריטריונים!$B$3),Oct!E82,"")</f>
        <v>0.80505415162454885</v>
      </c>
      <c r="M81" s="113">
        <f>IF(AND(ABS(Sep!K82)&gt;קריטריונים!$B$2,Sep!B82&gt;קריטריונים!$B$3),Sep!K82,"")</f>
        <v>0.19961027889416627</v>
      </c>
      <c r="N81" s="113">
        <f>IF(AND(ABS(Sep!J82)&gt;קריטריונים!$B$2,Sep!B82&gt;קריטריונים!$B$3),Sep!J82,"")</f>
        <v>0.3027377331040868</v>
      </c>
      <c r="O81" s="113">
        <f>IF(AND(ABS(Sep!F82)&gt;קריטריונים!$B$1,Sep!B82&gt;קריטריונים!$B$3),Sep!F82,"")</f>
        <v>0.28205128205128216</v>
      </c>
      <c r="P81" s="113">
        <f>IF(AND(ABS(Sep!E82)&gt;קריטריונים!$B$1,Sep!B82&gt;קריטריונים!$B$3),Sep!E82,"")</f>
        <v>7.0205479452054798E-2</v>
      </c>
      <c r="Q81" s="113">
        <f>IF(AND(ABS(Aug!K82)&gt;קריטריונים!$B$2,Aug!B82&gt;קריטריונים!$B$3),Aug!K82,"")</f>
        <v>0.18850193477059141</v>
      </c>
      <c r="R81" s="113">
        <f>IF(AND(ABS(Aug!J82)&gt;קריטריונים!$B$2,Aug!B82&gt;קריטריונים!$B$3),Aug!J82,"")</f>
        <v>0.34522133583607073</v>
      </c>
      <c r="S81" s="113">
        <f>IF(AND(ABS(Aug!F82)&gt;קריטריונים!$B$1,Aug!B82&gt;קריטריונים!$B$3),Aug!F82,"")</f>
        <v>0.20329322355921464</v>
      </c>
      <c r="T81" s="113">
        <f>IF(AND(ABS(Aug!E82)&gt;קריטריונים!$B$1,Aug!B82&gt;קריטריונים!$B$3),Aug!E82,"")</f>
        <v>0.34465675866949752</v>
      </c>
      <c r="U81" s="113">
        <f>IF(AND(ABS(Jul!K82)&gt;קריטריונים!$B$2,Jul!B82&gt;קריטריונים!$B$3),Jul!K82,"")</f>
        <v>5.7213930348258613E-2</v>
      </c>
      <c r="V81" s="113">
        <f>IF(AND(ABS(Jul!J82)&gt;קריטריונים!$B$2,Jul!B82&gt;קריטריונים!$B$3),Jul!J82,"")</f>
        <v>0.34529147982062769</v>
      </c>
      <c r="W81" s="113">
        <f>IF(AND(ABS(Jul!F82)&gt;קריטריונים!$B$1,Jul!B82&gt;קריטריונים!$B$3),Jul!F82,"")</f>
        <v>0.22103944896681282</v>
      </c>
      <c r="X81" s="113">
        <f>IF(AND(ABS(Jul!E82)&gt;קריטריונים!$B$1,Jul!B82&gt;קריטריונים!$B$3),Jul!E82,"")</f>
        <v>0.44873699851411586</v>
      </c>
      <c r="Y81" s="113">
        <f>IF(AND(ABS(Jun!K82)&gt;קריטריונים!$B$2,Jun!B82&gt;קריטריונים!$B$3),Jun!K82,"")</f>
        <v>0.13954418232706911</v>
      </c>
      <c r="Z81" s="113">
        <f>IF(AND(ABS(Jun!J82)&gt;קריטריונים!$B$2,Jun!B82&gt;קריטריונים!$B$3),Jun!J82,"")</f>
        <v>0.31321276350650851</v>
      </c>
      <c r="AA81" s="113">
        <f>IF(AND(ABS(Jun!F82)&gt;קריטריונים!$B$1,Jun!B82&gt;קריטריונים!$B$3),Jun!F82,"")</f>
        <v>0.37755102040816335</v>
      </c>
      <c r="AB81" s="113">
        <f>IF(AND(ABS(Jun!E82)&gt;קריטריונים!$B$1,Jun!B82&gt;קריטריונים!$B$3),Jun!E82,"")</f>
        <v>0.5323496027241772</v>
      </c>
      <c r="AC81" s="113">
        <f>IF(AND(ABS(May!K82)&gt;קריטריונים!$B$2,May!B82&gt;קריטריונים!$B$3),May!K82,"")</f>
        <v>0.12417625016151956</v>
      </c>
      <c r="AD81" s="113">
        <f>IF(AND(ABS(May!J82)&gt;קריטריונים!$B$2,May!B82&gt;קריטריונים!$B$3),May!J82,"")</f>
        <v>0.25740713976008101</v>
      </c>
      <c r="AE81" s="113">
        <f>IF(AND(ABS(May!F82)&gt;קריטריונים!$B$1,May!B82&gt;קריטריונים!$B$3),May!F82,"")</f>
        <v>0.38721351025331718</v>
      </c>
      <c r="AF81" s="113">
        <f>IF(AND(ABS(May!E82)&gt;קריטריונים!$B$1,May!B82&gt;קריטריונים!$B$3),May!E82,"")</f>
        <v>0.19604784191367641</v>
      </c>
      <c r="AG81" s="113">
        <f>IF(AND(ABS(Apr!K82)&gt;קריטריונים!$B$2,Apr!B82&gt;קריטריונים!$B$3),Apr!K82,"")</f>
        <v>5.2458477224140987E-2</v>
      </c>
      <c r="AH81" s="113">
        <f>IF(AND(ABS(Apr!J82)&gt;קריטריונים!$B$2,Apr!B82&gt;קריטריונים!$B$3),Apr!J82,"")</f>
        <v>0.2810248198558849</v>
      </c>
      <c r="AI81" s="113">
        <f>IF(AND(ABS(Apr!F82)&gt;קריטריונים!$B$1,Apr!B82&gt;קריטריונים!$B$3),Apr!F82,"")</f>
        <v>0.10149488591660116</v>
      </c>
      <c r="AJ81" s="113">
        <f>IF(AND(ABS(Apr!E82)&gt;קריטריונים!$B$1,Apr!B82&gt;קריטריונים!$B$3),Apr!E82,"")</f>
        <v>1.7370478983382212</v>
      </c>
      <c r="AK81" s="113" t="str">
        <f>IF(AND(ABS(Mar!K82)&gt;קריטריונים!$B$2,Mar!B82&gt;קריטריונים!$B$3),Mar!K82,"")</f>
        <v/>
      </c>
      <c r="AL81" s="113" t="str">
        <f>IF(AND(ABS(Mar!J82)&gt;קריטריונים!$B$2,Mar!B82&gt;קריטריונים!$B$3),Mar!J82,"")</f>
        <v/>
      </c>
      <c r="AM81" s="113" t="str">
        <f>IF(AND(ABS(Mar!F82)&gt;קריטריונים!$B$1,Mar!B82&gt;קריטריונים!$B$3),Mar!F82,"")</f>
        <v/>
      </c>
      <c r="AN81" s="113" t="str">
        <f>IF(AND(ABS(Mar!E82)&gt;קריטריונים!$B$1,Mar!B82&gt;קריטריונים!$B$3),Mar!E82,"")</f>
        <v/>
      </c>
      <c r="AO81" s="113" t="str">
        <f>IF(AND(ABS(Feb!K82)&gt;קריטריונים!$B$2,Feb!B82&gt;קריטריונים!$B$3),Feb!K82,"")</f>
        <v/>
      </c>
      <c r="AP81" s="113" t="str">
        <f>IF(AND(ABS(Feb!J82)&gt;קריטריונים!$B$2,Feb!B82&gt;קריטריונים!$B$3),Feb!J82,"")</f>
        <v/>
      </c>
      <c r="AQ81" s="113" t="str">
        <f>IF(AND(ABS(Feb!F82)&gt;קריטריונים!$B$1,Feb!B82&gt;קריטריונים!$B$3),Feb!F82,"")</f>
        <v/>
      </c>
      <c r="AR81" s="113" t="str">
        <f>IF(AND(ABS(Feb!E82)&gt;קריטריונים!$B$1,Feb!B82&gt;קריטריונים!$B$3),Feb!E82,"")</f>
        <v/>
      </c>
      <c r="AS81" s="113" t="str">
        <f>IF(AND(ABS(Jan!F82)&gt;קריטריונים!$B$1,Jan!B82&gt;קריטריונים!$B$3),Jan!F82,"")</f>
        <v/>
      </c>
      <c r="AT81" s="103" t="str">
        <f>IF(AND(ABS(Jan!E82)&gt;קריטריונים!$B$1,Jan!B82&gt;קריטריונים!$B$3),Jan!E82,"")</f>
        <v/>
      </c>
      <c r="AU81" s="118" t="s">
        <v>68</v>
      </c>
      <c r="AV81" s="4"/>
    </row>
    <row r="82" spans="1:48">
      <c r="A82" s="112" t="str">
        <f>IF(AND(ABS(Dec!K83)&gt;קריטריונים!$B$2,Dec!B83&gt;קריטריונים!$B$3),Dec!K83,"")</f>
        <v/>
      </c>
      <c r="B82" s="113" t="str">
        <f>IF(AND(ABS(Dec!J83)&gt;קריטריונים!$B$2,Dec!B83&gt;קריטריונים!$B$3),Dec!J83,"")</f>
        <v/>
      </c>
      <c r="C82" s="113" t="str">
        <f>IF(AND(ABS(Dec!F83)&gt;קריטריונים!$B$1,Dec!B83&gt;קריטריונים!$B$3),Dec!F83,"")</f>
        <v/>
      </c>
      <c r="D82" s="113" t="str">
        <f>IF(AND(ABS(Dec!E83)&gt;קריטריונים!$B$1,Dec!B83&gt;קריטריונים!$B$3),Dec!E83,"")</f>
        <v/>
      </c>
      <c r="E82" s="113">
        <f>IF(AND(ABS(Nov!K83)&gt;קריטריונים!$B$2,Nov!B83&gt;קריטריונים!$B$3),Nov!K83,"")</f>
        <v>0.34212140428938254</v>
      </c>
      <c r="F82" s="113">
        <f>IF(AND(ABS(Nov!J83)&gt;קריטריונים!$B$2,Nov!B83&gt;קריטריונים!$B$3),Nov!J83,"")</f>
        <v>0.4362637118127406</v>
      </c>
      <c r="G82" s="113">
        <f>IF(AND(ABS(Nov!F83)&gt;קריטריונים!$B$1,Nov!B83&gt;קריטריונים!$B$3),Nov!F83,"")</f>
        <v>0.64316370324954009</v>
      </c>
      <c r="H82" s="113">
        <f>IF(AND(ABS(Nov!E83)&gt;קריטריונים!$B$1,Nov!B83&gt;קריטריונים!$B$3),Nov!E83,"")</f>
        <v>0.27400646510743476</v>
      </c>
      <c r="I82" s="113">
        <f>IF(AND(ABS(Oct!K83)&gt;קריטריונים!$B$2,Oct!B83&gt;קריטריונים!$B$3),Oct!K83,"")</f>
        <v>0.31423508564678082</v>
      </c>
      <c r="J82" s="113">
        <f>IF(AND(ABS(Oct!J83)&gt;קריטריונים!$B$2,Oct!B83&gt;קריטריונים!$B$3),Oct!J83,"")</f>
        <v>0.45776635419816536</v>
      </c>
      <c r="K82" s="113">
        <f>IF(AND(ABS(Oct!F83)&gt;קריטריונים!$B$1,Oct!B83&gt;קריטריונים!$B$3),Oct!F83,"")</f>
        <v>0.58025568181818188</v>
      </c>
      <c r="L82" s="113">
        <f>IF(AND(ABS(Oct!E83)&gt;קריטריונים!$B$1,Oct!B83&gt;קריטריונים!$B$3),Oct!E83,"")</f>
        <v>0.679245283018868</v>
      </c>
      <c r="M82" s="113">
        <f>IF(AND(ABS(Sep!K83)&gt;קריטריונים!$B$2,Sep!B83&gt;קריטריונים!$B$3),Sep!K83,"")</f>
        <v>0.27520450164122323</v>
      </c>
      <c r="N82" s="113">
        <f>IF(AND(ABS(Sep!J83)&gt;קריטריונים!$B$2,Sep!B83&gt;קריטריונים!$B$3),Sep!J83,"")</f>
        <v>0.4236272684969753</v>
      </c>
      <c r="O82" s="113">
        <f>IF(AND(ABS(Sep!F83)&gt;קריטריונים!$B$1,Sep!B83&gt;קריטריונים!$B$3),Sep!F83,"")</f>
        <v>0.49014213663457129</v>
      </c>
      <c r="P82" s="113">
        <f>IF(AND(ABS(Sep!E83)&gt;קריטריונים!$B$1,Sep!B83&gt;קריטריונים!$B$3),Sep!E83,"")</f>
        <v>0.2935323383084576</v>
      </c>
      <c r="Q82" s="113">
        <f>IF(AND(ABS(Aug!K83)&gt;קריטריונים!$B$2,Aug!B83&gt;קריטריונים!$B$3),Aug!K83,"")</f>
        <v>0.24764871855161052</v>
      </c>
      <c r="R82" s="113">
        <f>IF(AND(ABS(Aug!J83)&gt;קריטריונים!$B$2,Aug!B83&gt;קריטריונים!$B$3),Aug!J83,"")</f>
        <v>0.44589393371708819</v>
      </c>
      <c r="S82" s="113">
        <f>IF(AND(ABS(Aug!F83)&gt;קריטריונים!$B$1,Aug!B83&gt;קריטריונים!$B$3),Aug!F83,"")</f>
        <v>0.25806985598410859</v>
      </c>
      <c r="T82" s="113">
        <f>IF(AND(ABS(Aug!E83)&gt;קריטריונים!$B$1,Aug!B83&gt;קריטריונים!$B$3),Aug!E83,"")</f>
        <v>0.3076393668272539</v>
      </c>
      <c r="U82" s="113">
        <f>IF(AND(ABS(Jul!K83)&gt;קריטריונים!$B$2,Jul!B83&gt;קריטריונים!$B$3),Jul!K83,"")</f>
        <v>0.13596284975311534</v>
      </c>
      <c r="V82" s="113">
        <f>IF(AND(ABS(Jul!J83)&gt;קריטריונים!$B$2,Jul!B83&gt;קריטריונים!$B$3),Jul!J83,"")</f>
        <v>0.46108191887498551</v>
      </c>
      <c r="W82" s="113">
        <f>IF(AND(ABS(Jul!F83)&gt;קריטריונים!$B$1,Jul!B83&gt;קריטריונים!$B$3),Jul!F83,"")</f>
        <v>0.19167844879822282</v>
      </c>
      <c r="X82" s="113">
        <f>IF(AND(ABS(Jul!E83)&gt;קריטריונים!$B$1,Jul!B83&gt;קריטריונים!$B$3),Jul!E83,"")</f>
        <v>0.36023054755043216</v>
      </c>
      <c r="Y82" s="113">
        <f>IF(AND(ABS(Jun!K83)&gt;קריטריונים!$B$2,Jun!B83&gt;קריטריונים!$B$3),Jun!K83,"")</f>
        <v>0.21002752581699946</v>
      </c>
      <c r="Z82" s="113">
        <f>IF(AND(ABS(Jun!J83)&gt;קריטריונים!$B$2,Jun!B83&gt;קריטריונים!$B$3),Jun!J83,"")</f>
        <v>0.48086183898170964</v>
      </c>
      <c r="AA82" s="113">
        <f>IF(AND(ABS(Jun!F83)&gt;קריטריונים!$B$1,Jun!B83&gt;קריטריונים!$B$3),Jun!F83,"")</f>
        <v>0.47738806811773959</v>
      </c>
      <c r="AB82" s="113">
        <f>IF(AND(ABS(Jun!E83)&gt;קריטריונים!$B$1,Jun!B83&gt;קריטריונים!$B$3),Jun!E83,"")</f>
        <v>0.77699403147042845</v>
      </c>
      <c r="AC82" s="113">
        <f>IF(AND(ABS(May!K83)&gt;קריטריונים!$B$2,May!B83&gt;קריטריונים!$B$3),May!K83,"")</f>
        <v>0.21189694250427871</v>
      </c>
      <c r="AD82" s="113">
        <f>IF(AND(ABS(May!J83)&gt;קריטריונים!$B$2,May!B83&gt;קריטריונים!$B$3),May!J83,"")</f>
        <v>0.42163379364605658</v>
      </c>
      <c r="AE82" s="113">
        <f>IF(AND(ABS(May!F83)&gt;קריטריונים!$B$1,May!B83&gt;קריטריונים!$B$3),May!F83,"")</f>
        <v>0.32481890964544413</v>
      </c>
      <c r="AF82" s="113">
        <f>IF(AND(ABS(May!E83)&gt;קריטריונים!$B$1,May!B83&gt;קריטריונים!$B$3),May!E83,"")</f>
        <v>0.37951568082572473</v>
      </c>
      <c r="AG82" s="113">
        <f>IF(AND(ABS(Apr!K83)&gt;קריטריונים!$B$2,Apr!B83&gt;קריטריונים!$B$3),Apr!K83,"")</f>
        <v>0.17571611799914488</v>
      </c>
      <c r="AH82" s="113">
        <f>IF(AND(ABS(Apr!J83)&gt;קריטריונים!$B$2,Apr!B83&gt;קריטריונים!$B$3),Apr!J83,"")</f>
        <v>0.43747899787178435</v>
      </c>
      <c r="AI82" s="113">
        <f>IF(AND(ABS(Apr!F83)&gt;קריטריונים!$B$1,Apr!B83&gt;קריטריונים!$B$3),Apr!F83,"")</f>
        <v>0.12003620319040609</v>
      </c>
      <c r="AJ82" s="113">
        <f>IF(AND(ABS(Apr!E83)&gt;קריטריונים!$B$1,Apr!B83&gt;קריטריונים!$B$3),Apr!E83,"")</f>
        <v>0.77133655394524947</v>
      </c>
      <c r="AK82" s="113">
        <f>IF(AND(ABS(Mar!K83)&gt;קריטריונים!$B$2,Mar!B83&gt;קריטריונים!$B$3),Mar!K83,"")</f>
        <v>0.19630233822729748</v>
      </c>
      <c r="AL82" s="113">
        <f>IF(AND(ABS(Mar!J83)&gt;קריטריונים!$B$2,Mar!B83&gt;קריטריונים!$B$3),Mar!J83,"")</f>
        <v>0.34943852033594403</v>
      </c>
      <c r="AM82" s="113">
        <f>IF(AND(ABS(Mar!F83)&gt;קריטריונים!$B$1,Mar!B83&gt;קריטריונים!$B$3),Mar!F83,"")</f>
        <v>9.7909460069183218E-2</v>
      </c>
      <c r="AN82" s="113">
        <f>IF(AND(ABS(Mar!E83)&gt;קריטריונים!$B$1,Mar!B83&gt;קריטריונים!$B$3),Mar!E83,"")</f>
        <v>0.31247752606975898</v>
      </c>
      <c r="AO82" s="113">
        <f>IF(AND(ABS(Feb!K83)&gt;קריטריונים!$B$2,Feb!B83&gt;קריטריונים!$B$3),Feb!K83,"")</f>
        <v>0.23421022134662195</v>
      </c>
      <c r="AP82" s="113">
        <f>IF(AND(ABS(Feb!J83)&gt;קריטריונים!$B$2,Feb!B83&gt;קריטריונים!$B$3),Feb!J83,"")</f>
        <v>0.36258955987717489</v>
      </c>
      <c r="AQ82" s="113">
        <f>IF(AND(ABS(Feb!F83)&gt;קריטריונים!$B$1,Feb!B83&gt;קריטריונים!$B$3),Feb!F83,"")</f>
        <v>0.24150548876110811</v>
      </c>
      <c r="AR82" s="113">
        <f>IF(AND(ABS(Feb!E83)&gt;קריטריונים!$B$1,Feb!B83&gt;קריטריונים!$B$3),Feb!E83,"")</f>
        <v>0.3408609738884969</v>
      </c>
      <c r="AS82" s="113">
        <f>IF(AND(ABS(Jan!F83)&gt;קריטריונים!$B$1,Jan!B83&gt;קריטריונים!$B$3),Jan!F83,"")</f>
        <v>0.22839891734332718</v>
      </c>
      <c r="AT82" s="103">
        <f>IF(AND(ABS(Jan!E83)&gt;קריטריונים!$B$1,Jan!B83&gt;קריטריונים!$B$3),Jan!E83,"")</f>
        <v>0.3806013806013806</v>
      </c>
      <c r="AU82" s="118" t="s">
        <v>69</v>
      </c>
      <c r="AV82" s="4"/>
    </row>
    <row r="83" spans="1:48">
      <c r="A83" s="112" t="str">
        <f>IF(AND(ABS(Dec!K84)&gt;קריטריונים!$B$2,Dec!B84&gt;קריטריונים!$B$3),Dec!K84,"")</f>
        <v/>
      </c>
      <c r="B83" s="113" t="str">
        <f>IF(AND(ABS(Dec!J84)&gt;קריטריונים!$B$2,Dec!B84&gt;קריטריונים!$B$3),Dec!J84,"")</f>
        <v/>
      </c>
      <c r="C83" s="113" t="str">
        <f>IF(AND(ABS(Dec!F84)&gt;קריטריונים!$B$1,Dec!B84&gt;קריטריונים!$B$3),Dec!F84,"")</f>
        <v/>
      </c>
      <c r="D83" s="113" t="str">
        <f>IF(AND(ABS(Dec!E84)&gt;קריטריונים!$B$1,Dec!B84&gt;קריטריונים!$B$3),Dec!E84,"")</f>
        <v/>
      </c>
      <c r="E83" s="113" t="str">
        <f>IF(AND(ABS(Nov!K84)&gt;קריטריונים!$B$2,Nov!B84&gt;קריטריונים!$B$3),Nov!K84,"")</f>
        <v/>
      </c>
      <c r="F83" s="113" t="str">
        <f>IF(AND(ABS(Nov!J84)&gt;קריטריונים!$B$2,Nov!B84&gt;קריטריונים!$B$3),Nov!J84,"")</f>
        <v/>
      </c>
      <c r="G83" s="113" t="str">
        <f>IF(AND(ABS(Nov!F84)&gt;קריטריונים!$B$1,Nov!B84&gt;קריטריונים!$B$3),Nov!F84,"")</f>
        <v/>
      </c>
      <c r="H83" s="113" t="str">
        <f>IF(AND(ABS(Nov!E84)&gt;קריטריונים!$B$1,Nov!B84&gt;קריטריונים!$B$3),Nov!E84,"")</f>
        <v/>
      </c>
      <c r="I83" s="113" t="str">
        <f>IF(AND(ABS(Oct!K84)&gt;קריטריונים!$B$2,Oct!B84&gt;קריטריונים!$B$3),Oct!K84,"")</f>
        <v/>
      </c>
      <c r="J83" s="113" t="str">
        <f>IF(AND(ABS(Oct!J84)&gt;קריטריונים!$B$2,Oct!B84&gt;קריטריונים!$B$3),Oct!J84,"")</f>
        <v/>
      </c>
      <c r="K83" s="113" t="str">
        <f>IF(AND(ABS(Oct!F84)&gt;קריטריונים!$B$1,Oct!B84&gt;קריטריונים!$B$3),Oct!F84,"")</f>
        <v/>
      </c>
      <c r="L83" s="113" t="str">
        <f>IF(AND(ABS(Oct!E84)&gt;קריטריונים!$B$1,Oct!B84&gt;קריטריונים!$B$3),Oct!E84,"")</f>
        <v/>
      </c>
      <c r="M83" s="113" t="str">
        <f>IF(AND(ABS(Sep!K84)&gt;קריטריונים!$B$2,Sep!B84&gt;קריטריונים!$B$3),Sep!K84,"")</f>
        <v/>
      </c>
      <c r="N83" s="113" t="str">
        <f>IF(AND(ABS(Sep!J84)&gt;קריטריונים!$B$2,Sep!B84&gt;קריטריונים!$B$3),Sep!J84,"")</f>
        <v/>
      </c>
      <c r="O83" s="113" t="str">
        <f>IF(AND(ABS(Sep!F84)&gt;קריטריונים!$B$1,Sep!B84&gt;קריטריונים!$B$3),Sep!F84,"")</f>
        <v/>
      </c>
      <c r="P83" s="113" t="str">
        <f>IF(AND(ABS(Sep!E84)&gt;קריטריונים!$B$1,Sep!B84&gt;קריטריונים!$B$3),Sep!E84,"")</f>
        <v/>
      </c>
      <c r="Q83" s="113" t="str">
        <f>IF(AND(ABS(Aug!K84)&gt;קריטריונים!$B$2,Aug!B84&gt;קריטריונים!$B$3),Aug!K84,"")</f>
        <v/>
      </c>
      <c r="R83" s="113" t="str">
        <f>IF(AND(ABS(Aug!J84)&gt;קריטריונים!$B$2,Aug!B84&gt;קריטריונים!$B$3),Aug!J84,"")</f>
        <v/>
      </c>
      <c r="S83" s="113" t="str">
        <f>IF(AND(ABS(Aug!F84)&gt;קריטריונים!$B$1,Aug!B84&gt;קריטריונים!$B$3),Aug!F84,"")</f>
        <v/>
      </c>
      <c r="T83" s="113" t="str">
        <f>IF(AND(ABS(Aug!E84)&gt;קריטריונים!$B$1,Aug!B84&gt;קריטריונים!$B$3),Aug!E84,"")</f>
        <v/>
      </c>
      <c r="U83" s="113" t="str">
        <f>IF(AND(ABS(Jul!K84)&gt;קריטריונים!$B$2,Jul!B84&gt;קריטריונים!$B$3),Jul!K84,"")</f>
        <v/>
      </c>
      <c r="V83" s="113" t="str">
        <f>IF(AND(ABS(Jul!J84)&gt;קריטריונים!$B$2,Jul!B84&gt;קריטריונים!$B$3),Jul!J84,"")</f>
        <v/>
      </c>
      <c r="W83" s="113" t="str">
        <f>IF(AND(ABS(Jul!F84)&gt;קריטריונים!$B$1,Jul!B84&gt;קריטריונים!$B$3),Jul!F84,"")</f>
        <v/>
      </c>
      <c r="X83" s="113" t="str">
        <f>IF(AND(ABS(Jul!E84)&gt;קריטריונים!$B$1,Jul!B84&gt;קריטריונים!$B$3),Jul!E84,"")</f>
        <v/>
      </c>
      <c r="Y83" s="113" t="str">
        <f>IF(AND(ABS(Jun!K84)&gt;קריטריונים!$B$2,Jun!B84&gt;קריטריונים!$B$3),Jun!K84,"")</f>
        <v/>
      </c>
      <c r="Z83" s="113" t="str">
        <f>IF(AND(ABS(Jun!J84)&gt;קריטריונים!$B$2,Jun!B84&gt;קריטריונים!$B$3),Jun!J84,"")</f>
        <v/>
      </c>
      <c r="AA83" s="113" t="str">
        <f>IF(AND(ABS(Jun!F84)&gt;קריטריונים!$B$1,Jun!B84&gt;קריטריונים!$B$3),Jun!F84,"")</f>
        <v/>
      </c>
      <c r="AB83" s="113" t="str">
        <f>IF(AND(ABS(Jun!E84)&gt;קריטריונים!$B$1,Jun!B84&gt;קריטריונים!$B$3),Jun!E84,"")</f>
        <v/>
      </c>
      <c r="AC83" s="113" t="str">
        <f>IF(AND(ABS(May!K84)&gt;קריטריונים!$B$2,May!B84&gt;קריטריונים!$B$3),May!K84,"")</f>
        <v/>
      </c>
      <c r="AD83" s="113" t="str">
        <f>IF(AND(ABS(May!J84)&gt;קריטריונים!$B$2,May!B84&gt;קריטריונים!$B$3),May!J84,"")</f>
        <v/>
      </c>
      <c r="AE83" s="113" t="str">
        <f>IF(AND(ABS(May!F84)&gt;קריטריונים!$B$1,May!B84&gt;קריטריונים!$B$3),May!F84,"")</f>
        <v/>
      </c>
      <c r="AF83" s="113" t="str">
        <f>IF(AND(ABS(May!E84)&gt;קריטריונים!$B$1,May!B84&gt;קריטריונים!$B$3),May!E84,"")</f>
        <v/>
      </c>
      <c r="AG83" s="113" t="str">
        <f>IF(AND(ABS(Apr!K84)&gt;קריטריונים!$B$2,Apr!B84&gt;קריטריונים!$B$3),Apr!K84,"")</f>
        <v/>
      </c>
      <c r="AH83" s="113" t="str">
        <f>IF(AND(ABS(Apr!J84)&gt;קריטריונים!$B$2,Apr!B84&gt;קריטריונים!$B$3),Apr!J84,"")</f>
        <v/>
      </c>
      <c r="AI83" s="113" t="str">
        <f>IF(AND(ABS(Apr!F84)&gt;קריטריונים!$B$1,Apr!B84&gt;קריטריונים!$B$3),Apr!F84,"")</f>
        <v/>
      </c>
      <c r="AJ83" s="113" t="str">
        <f>IF(AND(ABS(Apr!E84)&gt;קריטריונים!$B$1,Apr!B84&gt;קריטריונים!$B$3),Apr!E84,"")</f>
        <v/>
      </c>
      <c r="AK83" s="113" t="str">
        <f>IF(AND(ABS(Mar!K84)&gt;קריטריונים!$B$2,Mar!B84&gt;קריטריונים!$B$3),Mar!K84,"")</f>
        <v/>
      </c>
      <c r="AL83" s="113" t="str">
        <f>IF(AND(ABS(Mar!J84)&gt;קריטריונים!$B$2,Mar!B84&gt;קריטריונים!$B$3),Mar!J84,"")</f>
        <v/>
      </c>
      <c r="AM83" s="113" t="str">
        <f>IF(AND(ABS(Mar!F84)&gt;קריטריונים!$B$1,Mar!B84&gt;קריטריונים!$B$3),Mar!F84,"")</f>
        <v/>
      </c>
      <c r="AN83" s="113" t="str">
        <f>IF(AND(ABS(Mar!E84)&gt;קריטריונים!$B$1,Mar!B84&gt;קריטריונים!$B$3),Mar!E84,"")</f>
        <v/>
      </c>
      <c r="AO83" s="113" t="str">
        <f>IF(AND(ABS(Feb!K84)&gt;קריטריונים!$B$2,Feb!B84&gt;קריטריונים!$B$3),Feb!K84,"")</f>
        <v/>
      </c>
      <c r="AP83" s="113" t="str">
        <f>IF(AND(ABS(Feb!J84)&gt;קריטריונים!$B$2,Feb!B84&gt;קריטריונים!$B$3),Feb!J84,"")</f>
        <v/>
      </c>
      <c r="AQ83" s="113" t="str">
        <f>IF(AND(ABS(Feb!F84)&gt;קריטריונים!$B$1,Feb!B84&gt;קריטריונים!$B$3),Feb!F84,"")</f>
        <v/>
      </c>
      <c r="AR83" s="113" t="str">
        <f>IF(AND(ABS(Feb!E84)&gt;קריטריונים!$B$1,Feb!B84&gt;קריטריונים!$B$3),Feb!E84,"")</f>
        <v/>
      </c>
      <c r="AS83" s="113" t="str">
        <f>IF(AND(ABS(Jan!F84)&gt;קריטריונים!$B$1,Jan!B84&gt;קריטריונים!$B$3),Jan!F84,"")</f>
        <v/>
      </c>
      <c r="AT83" s="103" t="str">
        <f>IF(AND(ABS(Jan!E84)&gt;קריטריונים!$B$1,Jan!B84&gt;קריטריונים!$B$3),Jan!E84,"")</f>
        <v/>
      </c>
      <c r="AU83" s="118" t="s">
        <v>70</v>
      </c>
      <c r="AV83" s="4"/>
    </row>
    <row r="84" spans="1:48">
      <c r="A84" s="112" t="str">
        <f>IF(AND(ABS(Dec!K85)&gt;קריטריונים!$B$2,Dec!B85&gt;קריטריונים!$B$3),Dec!K85,"")</f>
        <v/>
      </c>
      <c r="B84" s="113" t="str">
        <f>IF(AND(ABS(Dec!J85)&gt;קריטריונים!$B$2,Dec!B85&gt;קריטריונים!$B$3),Dec!J85,"")</f>
        <v/>
      </c>
      <c r="C84" s="113" t="str">
        <f>IF(AND(ABS(Dec!F85)&gt;קריטריונים!$B$1,Dec!B85&gt;קריטריונים!$B$3),Dec!F85,"")</f>
        <v/>
      </c>
      <c r="D84" s="113" t="str">
        <f>IF(AND(ABS(Dec!E85)&gt;קריטריונים!$B$1,Dec!B85&gt;קריטריונים!$B$3),Dec!E85,"")</f>
        <v/>
      </c>
      <c r="E84" s="113">
        <f>IF(AND(ABS(Nov!K85)&gt;קריטריונים!$B$2,Nov!B85&gt;קריטריונים!$B$3),Nov!K85,"")</f>
        <v>0.31526327482781613</v>
      </c>
      <c r="F84" s="113">
        <f>IF(AND(ABS(Nov!J85)&gt;קריטריונים!$B$2,Nov!B85&gt;קריטריונים!$B$3),Nov!J85,"")</f>
        <v>0.26333760136577045</v>
      </c>
      <c r="G84" s="113">
        <f>IF(AND(ABS(Nov!F85)&gt;קריטריונים!$B$1,Nov!B85&gt;קריטריונים!$B$3),Nov!F85,"")</f>
        <v>0.32090132090132095</v>
      </c>
      <c r="H84" s="113">
        <f>IF(AND(ABS(Nov!E85)&gt;קריטריונים!$B$1,Nov!B85&gt;קריטריונים!$B$3),Nov!E85,"")</f>
        <v>0.13408939292861888</v>
      </c>
      <c r="I84" s="113">
        <f>IF(AND(ABS(Oct!K85)&gt;קריטריונים!$B$2,Oct!B85&gt;קריטריונים!$B$3),Oct!K85,"")</f>
        <v>0.31492129324158746</v>
      </c>
      <c r="J84" s="113">
        <f>IF(AND(ABS(Oct!J85)&gt;קריטריונים!$B$2,Oct!B85&gt;קריטריונים!$B$3),Oct!J85,"")</f>
        <v>0.27217181159089887</v>
      </c>
      <c r="K84" s="113">
        <f>IF(AND(ABS(Oct!F85)&gt;קריטריונים!$B$1,Oct!B85&gt;קריטריונים!$B$3),Oct!F85,"")</f>
        <v>0.10356536502546709</v>
      </c>
      <c r="L84" s="113">
        <f>IF(AND(ABS(Oct!E85)&gt;קריטריונים!$B$1,Oct!B85&gt;קריטריונים!$B$3),Oct!E85,"")</f>
        <v>0.3778484366719661</v>
      </c>
      <c r="M84" s="113">
        <f>IF(AND(ABS(Sep!K85)&gt;קריטריונים!$B$2,Sep!B85&gt;קריטריונים!$B$3),Sep!K85,"")</f>
        <v>0.34132117484890268</v>
      </c>
      <c r="N84" s="113">
        <f>IF(AND(ABS(Sep!J85)&gt;קריטריונים!$B$2,Sep!B85&gt;קריטריונים!$B$3),Sep!J85,"")</f>
        <v>0.26222310915984837</v>
      </c>
      <c r="O84" s="113">
        <f>IF(AND(ABS(Sep!F85)&gt;קריטריונים!$B$1,Sep!B85&gt;קריטריונים!$B$3),Sep!F85,"")</f>
        <v>0.35722041259500537</v>
      </c>
      <c r="P84" s="113">
        <f>IF(AND(ABS(Sep!E85)&gt;קריטריונים!$B$1,Sep!B85&gt;קריטריונים!$B$3),Sep!E85,"")</f>
        <v>5.8873358746293958E-2</v>
      </c>
      <c r="Q84" s="113">
        <f>IF(AND(ABS(Aug!K85)&gt;קריטריונים!$B$2,Aug!B85&gt;קריטריונים!$B$3),Aug!K85,"")</f>
        <v>0.33960047003525262</v>
      </c>
      <c r="R84" s="113">
        <f>IF(AND(ABS(Aug!J85)&gt;קריטריונים!$B$2,Aug!B85&gt;קריטריונים!$B$3),Aug!J85,"")</f>
        <v>0.28937397500424145</v>
      </c>
      <c r="S84" s="113">
        <f>IF(AND(ABS(Aug!F85)&gt;קריטריונים!$B$1,Aug!B85&gt;קריטריונים!$B$3),Aug!F85,"")</f>
        <v>0.13830392714854867</v>
      </c>
      <c r="T84" s="113">
        <f>IF(AND(ABS(Aug!E85)&gt;קריטריונים!$B$1,Aug!B85&gt;קריטריונים!$B$3),Aug!E85,"")</f>
        <v>0.32013201320132012</v>
      </c>
      <c r="U84" s="113">
        <f>IF(AND(ABS(Jul!K85)&gt;קריטריונים!$B$2,Jul!B85&gt;קריטריונים!$B$3),Jul!K85,"")</f>
        <v>0.22209165687426569</v>
      </c>
      <c r="V84" s="113">
        <f>IF(AND(ABS(Jul!J85)&gt;קריטריונים!$B$2,Jul!B85&gt;קריטריונים!$B$3),Jul!J85,"")</f>
        <v>0.28649183572488868</v>
      </c>
      <c r="W84" s="113">
        <f>IF(AND(ABS(Jul!F85)&gt;קריטריונים!$B$1,Jul!B85&gt;קריטריונים!$B$3),Jul!F85,"")</f>
        <v>0.47244425746739593</v>
      </c>
      <c r="X84" s="113">
        <f>IF(AND(ABS(Jul!E85)&gt;קריטריונים!$B$1,Jul!B85&gt;קריטריונים!$B$3),Jul!E85,"")</f>
        <v>0.42857142857142838</v>
      </c>
      <c r="Y84" s="113">
        <f>IF(AND(ABS(Jun!K85)&gt;קריטריונים!$B$2,Jun!B85&gt;קריטריונים!$B$3),Jun!K85,"")</f>
        <v>0.30694266072372889</v>
      </c>
      <c r="Z84" s="113">
        <f>IF(AND(ABS(Jun!J85)&gt;קריטריונים!$B$2,Jun!B85&gt;קריטריונים!$B$3),Jun!J85,"")</f>
        <v>0.26111678087184731</v>
      </c>
      <c r="AA84" s="113">
        <f>IF(AND(ABS(Jun!F85)&gt;קריטריונים!$B$1,Jun!B85&gt;קריטריונים!$B$3),Jun!F85,"")</f>
        <v>0.18980169971671401</v>
      </c>
      <c r="AB84" s="113">
        <f>IF(AND(ABS(Jun!E85)&gt;קריטריונים!$B$1,Jun!B85&gt;קריטריונים!$B$3),Jun!E85,"")</f>
        <v>0.38157894736842102</v>
      </c>
      <c r="AC84" s="113">
        <f>IF(AND(ABS(May!K85)&gt;קריטריונים!$B$2,May!B85&gt;קריטריונים!$B$3),May!K85,"")</f>
        <v>0.36678356262925993</v>
      </c>
      <c r="AD84" s="113">
        <f>IF(AND(ABS(May!J85)&gt;קריטריונים!$B$2,May!B85&gt;קריטריונים!$B$3),May!J85,"")</f>
        <v>0.24610591900311518</v>
      </c>
      <c r="AE84" s="113">
        <f>IF(AND(ABS(May!F85)&gt;קריטריונים!$B$1,May!B85&gt;קריטריונים!$B$3),May!F85,"")</f>
        <v>0.36425648021828105</v>
      </c>
      <c r="AF84" s="113">
        <f>IF(AND(ABS(May!E85)&gt;קריטריונים!$B$1,May!B85&gt;קריטריונים!$B$3),May!E85,"")</f>
        <v>-3.0067895247332665E-2</v>
      </c>
      <c r="AG84" s="113">
        <f>IF(AND(ABS(Apr!K85)&gt;קריטריונים!$B$2,Apr!B85&gt;קריטריונים!$B$3),Apr!K85,"")</f>
        <v>0.36740641111858308</v>
      </c>
      <c r="AH84" s="113">
        <f>IF(AND(ABS(Apr!J85)&gt;קריטריונים!$B$2,Apr!B85&gt;קריטריונים!$B$3),Apr!J85,"")</f>
        <v>0.33992311916529361</v>
      </c>
      <c r="AI84" s="113">
        <f>IF(AND(ABS(Apr!F85)&gt;קריטריונים!$B$1,Apr!B85&gt;קריטריונים!$B$3),Apr!F85,"")</f>
        <v>0.47465437788018439</v>
      </c>
      <c r="AJ84" s="113">
        <f>IF(AND(ABS(Apr!E85)&gt;קריטריונים!$B$1,Apr!B85&gt;קריטריונים!$B$3),Apr!E85,"")</f>
        <v>0.9429265330904677</v>
      </c>
      <c r="AK84" s="113">
        <f>IF(AND(ABS(Mar!K85)&gt;קריטריונים!$B$2,Mar!B85&gt;קריטריונים!$B$3),Mar!K85,"")</f>
        <v>0.33293838862559255</v>
      </c>
      <c r="AL84" s="113">
        <f>IF(AND(ABS(Mar!J85)&gt;קריטריונים!$B$2,Mar!B85&gt;קריטריונים!$B$3),Mar!J85,"")</f>
        <v>0.2067578439259854</v>
      </c>
      <c r="AM84" s="113">
        <f>IF(AND(ABS(Mar!F85)&gt;קריטריונים!$B$1,Mar!B85&gt;קריטריונים!$B$3),Mar!F85,"")</f>
        <v>0.14367405289492496</v>
      </c>
      <c r="AN84" s="113">
        <f>IF(AND(ABS(Mar!E85)&gt;קריטריונים!$B$1,Mar!B85&gt;קריטריונים!$B$3),Mar!E85,"")</f>
        <v>0.25588697017268447</v>
      </c>
      <c r="AO84" s="113">
        <f>IF(AND(ABS(Feb!K85)&gt;קריטריונים!$B$2,Feb!B85&gt;קריטריונים!$B$3),Feb!K85,"")</f>
        <v>0.38240239118251451</v>
      </c>
      <c r="AP84" s="113">
        <f>IF(AND(ABS(Feb!J85)&gt;קריטריונים!$B$2,Feb!B85&gt;קריטריונים!$B$3),Feb!J85,"")</f>
        <v>0.19663648124191457</v>
      </c>
      <c r="AQ84" s="113">
        <f>IF(AND(ABS(Feb!F85)&gt;קריטריונים!$B$1,Feb!B85&gt;קריטריונים!$B$3),Feb!F85,"")</f>
        <v>0.41628730399595337</v>
      </c>
      <c r="AR84" s="113">
        <f>IF(AND(ABS(Feb!E85)&gt;קריטריונים!$B$1,Feb!B85&gt;קריטריונים!$B$3),Feb!E85,"")</f>
        <v>0.20326600773528147</v>
      </c>
      <c r="AS84" s="113">
        <f>IF(AND(ABS(Jan!F85)&gt;קריטריונים!$B$1,Jan!B85&gt;קריטריונים!$B$3),Jan!F85,"")</f>
        <v>0.36255924170616116</v>
      </c>
      <c r="AT84" s="103">
        <f>IF(AND(ABS(Jan!E85)&gt;קריטריונים!$B$1,Jan!B85&gt;קריטריונים!$B$3),Jan!E85,"")</f>
        <v>0.19263676432460453</v>
      </c>
      <c r="AU84" s="118" t="s">
        <v>71</v>
      </c>
      <c r="AV84" s="4"/>
    </row>
    <row r="85" spans="1:48">
      <c r="A85" s="112" t="str">
        <f>IF(AND(ABS(Dec!K86)&gt;קריטריונים!$B$2,Dec!B86&gt;קריטריונים!$B$3),Dec!K86,"")</f>
        <v/>
      </c>
      <c r="B85" s="113" t="str">
        <f>IF(AND(ABS(Dec!J86)&gt;קריטריונים!$B$2,Dec!B86&gt;קריטריונים!$B$3),Dec!J86,"")</f>
        <v/>
      </c>
      <c r="C85" s="113" t="str">
        <f>IF(AND(ABS(Dec!F86)&gt;קריטריונים!$B$1,Dec!B86&gt;קריטריונים!$B$3),Dec!F86,"")</f>
        <v/>
      </c>
      <c r="D85" s="113" t="str">
        <f>IF(AND(ABS(Dec!E86)&gt;קריטריונים!$B$1,Dec!B86&gt;קריטריונים!$B$3),Dec!E86,"")</f>
        <v/>
      </c>
      <c r="E85" s="113">
        <f>IF(AND(ABS(Nov!K86)&gt;קריטריונים!$B$2,Nov!B86&gt;קריטריונים!$B$3),Nov!K86,"")</f>
        <v>0.28700451580531872</v>
      </c>
      <c r="F85" s="113">
        <f>IF(AND(ABS(Nov!J86)&gt;קריטריונים!$B$2,Nov!B86&gt;קריטריונים!$B$3),Nov!J86,"")</f>
        <v>0.64983598121824149</v>
      </c>
      <c r="G85" s="113">
        <f>IF(AND(ABS(Nov!F86)&gt;קריטריונים!$B$1,Nov!B86&gt;קריטריונים!$B$3),Nov!F86,"")</f>
        <v>1.0065887990416291</v>
      </c>
      <c r="H85" s="113">
        <f>IF(AND(ABS(Nov!E86)&gt;קריטריונים!$B$1,Nov!B86&gt;קריטריונים!$B$3),Nov!E86,"")</f>
        <v>0.49955237242614148</v>
      </c>
      <c r="I85" s="113">
        <f>IF(AND(ABS(Oct!K86)&gt;קריטריונים!$B$2,Oct!B86&gt;קריטריונים!$B$3),Oct!K86,"")</f>
        <v>0.22121519125982303</v>
      </c>
      <c r="J85" s="113">
        <f>IF(AND(ABS(Oct!J86)&gt;קריטריונים!$B$2,Oct!B86&gt;קריטריונים!$B$3),Oct!J86,"")</f>
        <v>0.67505445804852404</v>
      </c>
      <c r="K85" s="113">
        <f>IF(AND(ABS(Oct!F86)&gt;קריטריונים!$B$1,Oct!B86&gt;קריטריונים!$B$3),Oct!F86,"")</f>
        <v>0.61702127659574457</v>
      </c>
      <c r="L85" s="113">
        <f>IF(AND(ABS(Oct!E86)&gt;קריטריונים!$B$1,Oct!B86&gt;קריטריונים!$B$3),Oct!E86,"")</f>
        <v>0.72140430351075868</v>
      </c>
      <c r="M85" s="113">
        <f>IF(AND(ABS(Sep!K86)&gt;קריטריונים!$B$2,Sep!B86&gt;קריטריונים!$B$3),Sep!K86,"")</f>
        <v>0.16275415606046306</v>
      </c>
      <c r="N85" s="113">
        <f>IF(AND(ABS(Sep!J86)&gt;קריטריונים!$B$2,Sep!B86&gt;קריטריונים!$B$3),Sep!J86,"")</f>
        <v>0.66584124983116455</v>
      </c>
      <c r="O85" s="113">
        <f>IF(AND(ABS(Sep!F86)&gt;קריטריונים!$B$1,Sep!B86&gt;קריטריונים!$B$3),Sep!F86,"")</f>
        <v>0.36314067611777534</v>
      </c>
      <c r="P85" s="113">
        <f>IF(AND(ABS(Sep!E86)&gt;קריטריונים!$B$1,Sep!B86&gt;קריטריונים!$B$3),Sep!E86,"")</f>
        <v>0.49970005998800238</v>
      </c>
      <c r="Q85" s="113">
        <f>IF(AND(ABS(Aug!K86)&gt;קריטריונים!$B$2,Aug!B86&gt;קריטריונים!$B$3),Aug!K86,"")</f>
        <v>0.13664618335523748</v>
      </c>
      <c r="R85" s="113">
        <f>IF(AND(ABS(Aug!J86)&gt;קריטריונים!$B$2,Aug!B86&gt;קריטריונים!$B$3),Aug!J86,"")</f>
        <v>0.69518461619960759</v>
      </c>
      <c r="S85" s="113">
        <f>IF(AND(ABS(Aug!F86)&gt;קריטריונים!$B$1,Aug!B86&gt;קריטריונים!$B$3),Aug!F86,"")</f>
        <v>0.37136588041689533</v>
      </c>
      <c r="T85" s="113">
        <f>IF(AND(ABS(Aug!E86)&gt;קריטריונים!$B$1,Aug!B86&gt;קריטריונים!$B$3),Aug!E86,"")</f>
        <v>0.47405660377358494</v>
      </c>
      <c r="U85" s="113">
        <f>IF(AND(ABS(Jul!K86)&gt;קריטריונים!$B$2,Jul!B86&gt;קריטריונים!$B$3),Jul!K86,"")</f>
        <v>4.7845700280609416E-2</v>
      </c>
      <c r="V85" s="113">
        <f>IF(AND(ABS(Jul!J86)&gt;קריטריונים!$B$2,Jul!B86&gt;קריטריונים!$B$3),Jul!J86,"")</f>
        <v>0.71701297945404785</v>
      </c>
      <c r="W85" s="113">
        <f>IF(AND(ABS(Jul!F86)&gt;קריטריונים!$B$1,Jul!B86&gt;קריטריונים!$B$3),Jul!F86,"")</f>
        <v>7.7734464572345896E-2</v>
      </c>
      <c r="X85" s="113">
        <f>IF(AND(ABS(Jul!E86)&gt;קריטריונים!$B$1,Jul!B86&gt;קריטריונים!$B$3),Jul!E86,"")</f>
        <v>0.50303805564438786</v>
      </c>
      <c r="Y85" s="113">
        <f>IF(AND(ABS(Jun!K86)&gt;קריטריונים!$B$2,Jun!B86&gt;קריטריונים!$B$3),Jun!K86,"")</f>
        <v>8.7147115553217525E-2</v>
      </c>
      <c r="Z85" s="113">
        <f>IF(AND(ABS(Jun!J86)&gt;קריטריונים!$B$2,Jun!B86&gt;קריטריונים!$B$3),Jun!J86,"")</f>
        <v>0.76462217162373669</v>
      </c>
      <c r="AA85" s="113">
        <f>IF(AND(ABS(Jun!F86)&gt;קריטריונים!$B$1,Jun!B86&gt;קריטריונים!$B$3),Jun!F86,"")</f>
        <v>0.48270181219110397</v>
      </c>
      <c r="AB85" s="113">
        <f>IF(AND(ABS(Jun!E86)&gt;קריטריונים!$B$1,Jun!B86&gt;קריטריונים!$B$3),Jun!E86,"")</f>
        <v>1.0446800454373344</v>
      </c>
      <c r="AC85" s="113">
        <f>IF(AND(ABS(May!K86)&gt;קריטריונים!$B$2,May!B86&gt;קריטריונים!$B$3),May!K86,"")</f>
        <v>5.8547498226659833E-2</v>
      </c>
      <c r="AD85" s="113">
        <f>IF(AND(ABS(May!J86)&gt;קריטריונים!$B$2,May!B86&gt;קריטריונים!$B$3),May!J86,"")</f>
        <v>0.6998159992990447</v>
      </c>
      <c r="AE85" s="113">
        <f>IF(AND(ABS(May!F86)&gt;קריטריונים!$B$1,May!B86&gt;קריטריונים!$B$3),May!F86,"")</f>
        <v>0.26977055023390517</v>
      </c>
      <c r="AF85" s="113">
        <f>IF(AND(ABS(May!E86)&gt;קריטריונים!$B$1,May!B86&gt;קריטריונים!$B$3),May!E86,"")</f>
        <v>0.70403587443946192</v>
      </c>
      <c r="AG85" s="113">
        <f>IF(AND(ABS(Apr!K86)&gt;קריטריונים!$B$2,Apr!B86&gt;קריטריונים!$B$3),Apr!K86,"")</f>
        <v>-9.9725393843042021E-3</v>
      </c>
      <c r="AH85" s="113">
        <f>IF(AND(ABS(Apr!J86)&gt;קריטריונים!$B$2,Apr!B86&gt;קריטריונים!$B$3),Apr!J86,"")</f>
        <v>0.69806643529995038</v>
      </c>
      <c r="AI85" s="113">
        <f>IF(AND(ABS(Apr!F86)&gt;קריטריונים!$B$1,Apr!B86&gt;קריטריונים!$B$3),Apr!F86,"")</f>
        <v>-0.18221313570150766</v>
      </c>
      <c r="AJ85" s="113">
        <f>IF(AND(ABS(Apr!E86)&gt;קריטריונים!$B$1,Apr!B86&gt;קריטריונים!$B$3),Apr!E86,"")</f>
        <v>0.65631469979296075</v>
      </c>
      <c r="AK85" s="113">
        <f>IF(AND(ABS(Mar!K86)&gt;קריטריונים!$B$2,Mar!B86&gt;קריטריונים!$B$3),Mar!K86,"")</f>
        <v>5.7934508816120722E-2</v>
      </c>
      <c r="AL85" s="113">
        <f>IF(AND(ABS(Mar!J86)&gt;קריטריונים!$B$2,Mar!B86&gt;קריטריונים!$B$3),Mar!J86,"")</f>
        <v>0.71121251629726223</v>
      </c>
      <c r="AM85" s="113">
        <f>IF(AND(ABS(Mar!F86)&gt;קריטריונים!$B$1,Mar!B86&gt;קריטריונים!$B$3),Mar!F86,"")</f>
        <v>1.6694490818029983E-3</v>
      </c>
      <c r="AN85" s="113">
        <f>IF(AND(ABS(Mar!E86)&gt;קריטריונים!$B$1,Mar!B86&gt;קריטריונים!$B$3),Mar!E86,"")</f>
        <v>0.68255748738081889</v>
      </c>
      <c r="AO85" s="113">
        <f>IF(AND(ABS(Feb!K86)&gt;קריטריונים!$B$2,Feb!B86&gt;קריטריונים!$B$3),Feb!K86,"")</f>
        <v>8.2251082251082241E-2</v>
      </c>
      <c r="AP85" s="113">
        <f>IF(AND(ABS(Feb!J86)&gt;קריטריונים!$B$2,Feb!B86&gt;קריטריונים!$B$3),Feb!J86,"")</f>
        <v>0.72294968986905594</v>
      </c>
      <c r="AQ85" s="113">
        <f>IF(AND(ABS(Feb!F86)&gt;קריטריונים!$B$1,Feb!B86&gt;קריטריונים!$B$3),Feb!F86,"")</f>
        <v>0.14822546972860118</v>
      </c>
      <c r="AR85" s="113">
        <f>IF(AND(ABS(Feb!E86)&gt;קריטריונים!$B$1,Feb!B86&gt;קריטריונים!$B$3),Feb!E86,"")</f>
        <v>0.69491525423728806</v>
      </c>
      <c r="AS85" s="113">
        <f>IF(AND(ABS(Jan!F86)&gt;קריטריונים!$B$1,Jan!B86&gt;קריטריונים!$B$3),Jan!F86,"")</f>
        <v>3.5502958579881616E-2</v>
      </c>
      <c r="AT85" s="103">
        <f>IF(AND(ABS(Jan!E86)&gt;קריטריונים!$B$1,Jan!B86&gt;קריטריונים!$B$3),Jan!E86,"")</f>
        <v>0.74563591022443898</v>
      </c>
      <c r="AU85" s="118" t="s">
        <v>72</v>
      </c>
      <c r="AV85" s="4"/>
    </row>
    <row r="86" spans="1:48">
      <c r="A86" s="112" t="str">
        <f>IF(AND(ABS(Dec!K87)&gt;קריטריונים!$B$2,Dec!B87&gt;קריטריונים!$B$3),Dec!K87,"")</f>
        <v/>
      </c>
      <c r="B86" s="113" t="str">
        <f>IF(AND(ABS(Dec!J87)&gt;קריטריונים!$B$2,Dec!B87&gt;קריטריונים!$B$3),Dec!J87,"")</f>
        <v/>
      </c>
      <c r="C86" s="113" t="str">
        <f>IF(AND(ABS(Dec!F87)&gt;קריטריונים!$B$1,Dec!B87&gt;קריטריונים!$B$3),Dec!F87,"")</f>
        <v/>
      </c>
      <c r="D86" s="113" t="str">
        <f>IF(AND(ABS(Dec!E87)&gt;קריטריונים!$B$1,Dec!B87&gt;קריטריונים!$B$3),Dec!E87,"")</f>
        <v/>
      </c>
      <c r="E86" s="113" t="str">
        <f>IF(AND(ABS(Nov!K87)&gt;קריטריונים!$B$2,Nov!B87&gt;קריטריונים!$B$3),Nov!K87,"")</f>
        <v/>
      </c>
      <c r="F86" s="113" t="str">
        <f>IF(AND(ABS(Nov!J87)&gt;קריטריונים!$B$2,Nov!B87&gt;קריטריונים!$B$3),Nov!J87,"")</f>
        <v/>
      </c>
      <c r="G86" s="113" t="str">
        <f>IF(AND(ABS(Nov!F87)&gt;קריטריונים!$B$1,Nov!B87&gt;קריטריונים!$B$3),Nov!F87,"")</f>
        <v/>
      </c>
      <c r="H86" s="113" t="str">
        <f>IF(AND(ABS(Nov!E87)&gt;קריטריונים!$B$1,Nov!B87&gt;קריטריונים!$B$3),Nov!E87,"")</f>
        <v/>
      </c>
      <c r="I86" s="113" t="str">
        <f>IF(AND(ABS(Oct!K87)&gt;קריטריונים!$B$2,Oct!B87&gt;קריטריונים!$B$3),Oct!K87,"")</f>
        <v/>
      </c>
      <c r="J86" s="113" t="str">
        <f>IF(AND(ABS(Oct!J87)&gt;קריטריונים!$B$2,Oct!B87&gt;קריטריונים!$B$3),Oct!J87,"")</f>
        <v/>
      </c>
      <c r="K86" s="113" t="str">
        <f>IF(AND(ABS(Oct!F87)&gt;קריטריונים!$B$1,Oct!B87&gt;קריטריונים!$B$3),Oct!F87,"")</f>
        <v/>
      </c>
      <c r="L86" s="113" t="str">
        <f>IF(AND(ABS(Oct!E87)&gt;קריטריונים!$B$1,Oct!B87&gt;קריטריונים!$B$3),Oct!E87,"")</f>
        <v/>
      </c>
      <c r="M86" s="113" t="str">
        <f>IF(AND(ABS(Sep!K87)&gt;קריטריונים!$B$2,Sep!B87&gt;קריטריונים!$B$3),Sep!K87,"")</f>
        <v/>
      </c>
      <c r="N86" s="113" t="str">
        <f>IF(AND(ABS(Sep!J87)&gt;קריטריונים!$B$2,Sep!B87&gt;קריטריונים!$B$3),Sep!J87,"")</f>
        <v/>
      </c>
      <c r="O86" s="113" t="str">
        <f>IF(AND(ABS(Sep!F87)&gt;קריטריונים!$B$1,Sep!B87&gt;קריטריונים!$B$3),Sep!F87,"")</f>
        <v/>
      </c>
      <c r="P86" s="113" t="str">
        <f>IF(AND(ABS(Sep!E87)&gt;קריטריונים!$B$1,Sep!B87&gt;קריטריונים!$B$3),Sep!E87,"")</f>
        <v/>
      </c>
      <c r="Q86" s="113" t="str">
        <f>IF(AND(ABS(Aug!K87)&gt;קריטריונים!$B$2,Aug!B87&gt;קריטריונים!$B$3),Aug!K87,"")</f>
        <v/>
      </c>
      <c r="R86" s="113" t="str">
        <f>IF(AND(ABS(Aug!J87)&gt;קריטריונים!$B$2,Aug!B87&gt;קריטריונים!$B$3),Aug!J87,"")</f>
        <v/>
      </c>
      <c r="S86" s="113" t="str">
        <f>IF(AND(ABS(Aug!F87)&gt;קריטריונים!$B$1,Aug!B87&gt;קריטריונים!$B$3),Aug!F87,"")</f>
        <v/>
      </c>
      <c r="T86" s="113" t="str">
        <f>IF(AND(ABS(Aug!E87)&gt;קריטריונים!$B$1,Aug!B87&gt;קריטריונים!$B$3),Aug!E87,"")</f>
        <v/>
      </c>
      <c r="U86" s="113" t="str">
        <f>IF(AND(ABS(Jul!K87)&gt;קריטריונים!$B$2,Jul!B87&gt;קריטריונים!$B$3),Jul!K87,"")</f>
        <v/>
      </c>
      <c r="V86" s="113" t="str">
        <f>IF(AND(ABS(Jul!J87)&gt;קריטריונים!$B$2,Jul!B87&gt;קריטריונים!$B$3),Jul!J87,"")</f>
        <v/>
      </c>
      <c r="W86" s="113" t="str">
        <f>IF(AND(ABS(Jul!F87)&gt;קריטריונים!$B$1,Jul!B87&gt;קריטריונים!$B$3),Jul!F87,"")</f>
        <v/>
      </c>
      <c r="X86" s="113" t="str">
        <f>IF(AND(ABS(Jul!E87)&gt;קריטריונים!$B$1,Jul!B87&gt;קריטריונים!$B$3),Jul!E87,"")</f>
        <v/>
      </c>
      <c r="Y86" s="113" t="str">
        <f>IF(AND(ABS(Jun!K87)&gt;קריטריונים!$B$2,Jun!B87&gt;קריטריונים!$B$3),Jun!K87,"")</f>
        <v/>
      </c>
      <c r="Z86" s="113" t="str">
        <f>IF(AND(ABS(Jun!J87)&gt;קריטריונים!$B$2,Jun!B87&gt;קריטריונים!$B$3),Jun!J87,"")</f>
        <v/>
      </c>
      <c r="AA86" s="113" t="str">
        <f>IF(AND(ABS(Jun!F87)&gt;קריטריונים!$B$1,Jun!B87&gt;קריטריונים!$B$3),Jun!F87,"")</f>
        <v/>
      </c>
      <c r="AB86" s="113" t="str">
        <f>IF(AND(ABS(Jun!E87)&gt;קריטריונים!$B$1,Jun!B87&gt;קריטריונים!$B$3),Jun!E87,"")</f>
        <v/>
      </c>
      <c r="AC86" s="113" t="str">
        <f>IF(AND(ABS(May!K87)&gt;קריטריונים!$B$2,May!B87&gt;קריטריונים!$B$3),May!K87,"")</f>
        <v/>
      </c>
      <c r="AD86" s="113" t="str">
        <f>IF(AND(ABS(May!J87)&gt;קריטריונים!$B$2,May!B87&gt;קריטריונים!$B$3),May!J87,"")</f>
        <v/>
      </c>
      <c r="AE86" s="113" t="str">
        <f>IF(AND(ABS(May!F87)&gt;קריטריונים!$B$1,May!B87&gt;קריטריונים!$B$3),May!F87,"")</f>
        <v/>
      </c>
      <c r="AF86" s="113" t="str">
        <f>IF(AND(ABS(May!E87)&gt;קריטריונים!$B$1,May!B87&gt;קריטריונים!$B$3),May!E87,"")</f>
        <v/>
      </c>
      <c r="AG86" s="113" t="str">
        <f>IF(AND(ABS(Apr!K87)&gt;קריטריונים!$B$2,Apr!B87&gt;קריטריונים!$B$3),Apr!K87,"")</f>
        <v/>
      </c>
      <c r="AH86" s="113" t="str">
        <f>IF(AND(ABS(Apr!J87)&gt;קריטריונים!$B$2,Apr!B87&gt;קריטריונים!$B$3),Apr!J87,"")</f>
        <v/>
      </c>
      <c r="AI86" s="113" t="str">
        <f>IF(AND(ABS(Apr!F87)&gt;קריטריונים!$B$1,Apr!B87&gt;קריטריונים!$B$3),Apr!F87,"")</f>
        <v/>
      </c>
      <c r="AJ86" s="113" t="str">
        <f>IF(AND(ABS(Apr!E87)&gt;קריטריונים!$B$1,Apr!B87&gt;קריטריונים!$B$3),Apr!E87,"")</f>
        <v/>
      </c>
      <c r="AK86" s="113" t="str">
        <f>IF(AND(ABS(Mar!K87)&gt;קריטריונים!$B$2,Mar!B87&gt;קריטריונים!$B$3),Mar!K87,"")</f>
        <v/>
      </c>
      <c r="AL86" s="113" t="str">
        <f>IF(AND(ABS(Mar!J87)&gt;קריטריונים!$B$2,Mar!B87&gt;קריטריונים!$B$3),Mar!J87,"")</f>
        <v/>
      </c>
      <c r="AM86" s="113" t="str">
        <f>IF(AND(ABS(Mar!F87)&gt;קריטריונים!$B$1,Mar!B87&gt;קריטריונים!$B$3),Mar!F87,"")</f>
        <v/>
      </c>
      <c r="AN86" s="113" t="str">
        <f>IF(AND(ABS(Mar!E87)&gt;קריטריונים!$B$1,Mar!B87&gt;קריטריונים!$B$3),Mar!E87,"")</f>
        <v/>
      </c>
      <c r="AO86" s="113" t="str">
        <f>IF(AND(ABS(Feb!K87)&gt;קריטריונים!$B$2,Feb!B87&gt;קריטריונים!$B$3),Feb!K87,"")</f>
        <v/>
      </c>
      <c r="AP86" s="113" t="str">
        <f>IF(AND(ABS(Feb!J87)&gt;קריטריונים!$B$2,Feb!B87&gt;קריטריונים!$B$3),Feb!J87,"")</f>
        <v/>
      </c>
      <c r="AQ86" s="113" t="str">
        <f>IF(AND(ABS(Feb!F87)&gt;קריטריונים!$B$1,Feb!B87&gt;קריטריונים!$B$3),Feb!F87,"")</f>
        <v/>
      </c>
      <c r="AR86" s="113" t="str">
        <f>IF(AND(ABS(Feb!E87)&gt;קריטריונים!$B$1,Feb!B87&gt;קריטריונים!$B$3),Feb!E87,"")</f>
        <v/>
      </c>
      <c r="AS86" s="113" t="str">
        <f>IF(AND(ABS(Jan!F87)&gt;קריטריונים!$B$1,Jan!B87&gt;קריטריונים!$B$3),Jan!F87,"")</f>
        <v/>
      </c>
      <c r="AT86" s="103" t="str">
        <f>IF(AND(ABS(Jan!E87)&gt;קריטריונים!$B$1,Jan!B87&gt;קריטריונים!$B$3),Jan!E87,"")</f>
        <v/>
      </c>
      <c r="AU86" s="118" t="s">
        <v>73</v>
      </c>
      <c r="AV86" s="4"/>
    </row>
    <row r="87" spans="1:48">
      <c r="A87" s="112" t="str">
        <f>IF(AND(ABS(Dec!K88)&gt;קריטריונים!$B$2,Dec!B88&gt;קריטריונים!$B$3),Dec!K88,"")</f>
        <v/>
      </c>
      <c r="B87" s="113" t="str">
        <f>IF(AND(ABS(Dec!J88)&gt;קריטריונים!$B$2,Dec!B88&gt;קריטריונים!$B$3),Dec!J88,"")</f>
        <v/>
      </c>
      <c r="C87" s="113" t="str">
        <f>IF(AND(ABS(Dec!F88)&gt;קריטריונים!$B$1,Dec!B88&gt;קריטריונים!$B$3),Dec!F88,"")</f>
        <v/>
      </c>
      <c r="D87" s="113" t="str">
        <f>IF(AND(ABS(Dec!E88)&gt;קריטריונים!$B$1,Dec!B88&gt;קריטריונים!$B$3),Dec!E88,"")</f>
        <v/>
      </c>
      <c r="E87" s="113" t="str">
        <f>IF(AND(ABS(Nov!K88)&gt;קריטריונים!$B$2,Nov!B88&gt;קריטריונים!$B$3),Nov!K88,"")</f>
        <v/>
      </c>
      <c r="F87" s="113" t="str">
        <f>IF(AND(ABS(Nov!J88)&gt;קריטריונים!$B$2,Nov!B88&gt;קריטריונים!$B$3),Nov!J88,"")</f>
        <v/>
      </c>
      <c r="G87" s="113" t="str">
        <f>IF(AND(ABS(Nov!F88)&gt;קריטריונים!$B$1,Nov!B88&gt;קריטריונים!$B$3),Nov!F88,"")</f>
        <v/>
      </c>
      <c r="H87" s="113" t="str">
        <f>IF(AND(ABS(Nov!E88)&gt;קריטריונים!$B$1,Nov!B88&gt;קריטריונים!$B$3),Nov!E88,"")</f>
        <v/>
      </c>
      <c r="I87" s="113">
        <f>IF(AND(ABS(Oct!K88)&gt;קריטריונים!$B$2,Oct!B88&gt;קריטריונים!$B$3),Oct!K88,"")</f>
        <v>0.46536412078152756</v>
      </c>
      <c r="J87" s="113">
        <f>IF(AND(ABS(Oct!J88)&gt;קריטריונים!$B$2,Oct!B88&gt;קריטריונים!$B$3),Oct!J88,"")</f>
        <v>0.49006622516556275</v>
      </c>
      <c r="K87" s="113">
        <f>IF(AND(ABS(Oct!F88)&gt;קריטריונים!$B$1,Oct!B88&gt;קריטריונים!$B$3),Oct!F88,"")</f>
        <v>0.84804928131416846</v>
      </c>
      <c r="L87" s="113">
        <f>IF(AND(ABS(Oct!E88)&gt;קריטריונים!$B$1,Oct!B88&gt;קריטריונים!$B$3),Oct!E88,"")</f>
        <v>1.0881670533642693</v>
      </c>
      <c r="M87" s="113" t="str">
        <f>IF(AND(ABS(Sep!K88)&gt;קריטריונים!$B$2,Sep!B88&gt;קריטריונים!$B$3),Sep!K88,"")</f>
        <v/>
      </c>
      <c r="N87" s="113" t="str">
        <f>IF(AND(ABS(Sep!J88)&gt;קריטריונים!$B$2,Sep!B88&gt;קריטריונים!$B$3),Sep!J88,"")</f>
        <v/>
      </c>
      <c r="O87" s="113" t="str">
        <f>IF(AND(ABS(Sep!F88)&gt;קריטריונים!$B$1,Sep!B88&gt;קריטריונים!$B$3),Sep!F88,"")</f>
        <v/>
      </c>
      <c r="P87" s="113" t="str">
        <f>IF(AND(ABS(Sep!E88)&gt;קריטריונים!$B$1,Sep!B88&gt;קריטריונים!$B$3),Sep!E88,"")</f>
        <v/>
      </c>
      <c r="Q87" s="113" t="str">
        <f>IF(AND(ABS(Aug!K88)&gt;קריטריונים!$B$2,Aug!B88&gt;קריטריונים!$B$3),Aug!K88,"")</f>
        <v/>
      </c>
      <c r="R87" s="113" t="str">
        <f>IF(AND(ABS(Aug!J88)&gt;קריטריונים!$B$2,Aug!B88&gt;קריטריונים!$B$3),Aug!J88,"")</f>
        <v/>
      </c>
      <c r="S87" s="113" t="str">
        <f>IF(AND(ABS(Aug!F88)&gt;קריטריונים!$B$1,Aug!B88&gt;קריטריונים!$B$3),Aug!F88,"")</f>
        <v/>
      </c>
      <c r="T87" s="113" t="str">
        <f>IF(AND(ABS(Aug!E88)&gt;קריטריונים!$B$1,Aug!B88&gt;קריטריונים!$B$3),Aug!E88,"")</f>
        <v/>
      </c>
      <c r="U87" s="113" t="str">
        <f>IF(AND(ABS(Jul!K88)&gt;קריטריונים!$B$2,Jul!B88&gt;קריטריונים!$B$3),Jul!K88,"")</f>
        <v/>
      </c>
      <c r="V87" s="113" t="str">
        <f>IF(AND(ABS(Jul!J88)&gt;קריטריונים!$B$2,Jul!B88&gt;קריטריונים!$B$3),Jul!J88,"")</f>
        <v/>
      </c>
      <c r="W87" s="113" t="str">
        <f>IF(AND(ABS(Jul!F88)&gt;קריטריונים!$B$1,Jul!B88&gt;קריטריונים!$B$3),Jul!F88,"")</f>
        <v/>
      </c>
      <c r="X87" s="113" t="str">
        <f>IF(AND(ABS(Jul!E88)&gt;קריטריונים!$B$1,Jul!B88&gt;קריטריונים!$B$3),Jul!E88,"")</f>
        <v/>
      </c>
      <c r="Y87" s="113" t="str">
        <f>IF(AND(ABS(Jun!K88)&gt;קריטריונים!$B$2,Jun!B88&gt;קריטריונים!$B$3),Jun!K88,"")</f>
        <v/>
      </c>
      <c r="Z87" s="113" t="str">
        <f>IF(AND(ABS(Jun!J88)&gt;קריטריונים!$B$2,Jun!B88&gt;קריטריונים!$B$3),Jun!J88,"")</f>
        <v/>
      </c>
      <c r="AA87" s="113" t="str">
        <f>IF(AND(ABS(Jun!F88)&gt;קריטריונים!$B$1,Jun!B88&gt;קריטריונים!$B$3),Jun!F88,"")</f>
        <v/>
      </c>
      <c r="AB87" s="113" t="str">
        <f>IF(AND(ABS(Jun!E88)&gt;קריטריונים!$B$1,Jun!B88&gt;קריטריונים!$B$3),Jun!E88,"")</f>
        <v/>
      </c>
      <c r="AC87" s="113" t="str">
        <f>IF(AND(ABS(May!K88)&gt;קריטריונים!$B$2,May!B88&gt;קריטריונים!$B$3),May!K88,"")</f>
        <v/>
      </c>
      <c r="AD87" s="113" t="str">
        <f>IF(AND(ABS(May!J88)&gt;קריטריונים!$B$2,May!B88&gt;קריטריונים!$B$3),May!J88,"")</f>
        <v/>
      </c>
      <c r="AE87" s="113" t="str">
        <f>IF(AND(ABS(May!F88)&gt;קריטריונים!$B$1,May!B88&gt;קריטריונים!$B$3),May!F88,"")</f>
        <v/>
      </c>
      <c r="AF87" s="113" t="str">
        <f>IF(AND(ABS(May!E88)&gt;קריטריונים!$B$1,May!B88&gt;קריטריונים!$B$3),May!E88,"")</f>
        <v/>
      </c>
      <c r="AG87" s="113" t="str">
        <f>IF(AND(ABS(Apr!K88)&gt;קריטריונים!$B$2,Apr!B88&gt;קריטריונים!$B$3),Apr!K88,"")</f>
        <v/>
      </c>
      <c r="AH87" s="113" t="str">
        <f>IF(AND(ABS(Apr!J88)&gt;קריטריונים!$B$2,Apr!B88&gt;קריטריונים!$B$3),Apr!J88,"")</f>
        <v/>
      </c>
      <c r="AI87" s="113" t="str">
        <f>IF(AND(ABS(Apr!F88)&gt;קריטריונים!$B$1,Apr!B88&gt;קריטריונים!$B$3),Apr!F88,"")</f>
        <v/>
      </c>
      <c r="AJ87" s="113" t="str">
        <f>IF(AND(ABS(Apr!E88)&gt;קריטריונים!$B$1,Apr!B88&gt;קריטריונים!$B$3),Apr!E88,"")</f>
        <v/>
      </c>
      <c r="AK87" s="113" t="str">
        <f>IF(AND(ABS(Mar!K88)&gt;קריטריונים!$B$2,Mar!B88&gt;קריטריונים!$B$3),Mar!K88,"")</f>
        <v/>
      </c>
      <c r="AL87" s="113" t="str">
        <f>IF(AND(ABS(Mar!J88)&gt;קריטריונים!$B$2,Mar!B88&gt;קריטריונים!$B$3),Mar!J88,"")</f>
        <v/>
      </c>
      <c r="AM87" s="113" t="str">
        <f>IF(AND(ABS(Mar!F88)&gt;קריטריונים!$B$1,Mar!B88&gt;קריטריונים!$B$3),Mar!F88,"")</f>
        <v/>
      </c>
      <c r="AN87" s="113" t="str">
        <f>IF(AND(ABS(Mar!E88)&gt;קריטריונים!$B$1,Mar!B88&gt;קריטריונים!$B$3),Mar!E88,"")</f>
        <v/>
      </c>
      <c r="AO87" s="113" t="str">
        <f>IF(AND(ABS(Feb!K88)&gt;קריטריונים!$B$2,Feb!B88&gt;קריטריונים!$B$3),Feb!K88,"")</f>
        <v/>
      </c>
      <c r="AP87" s="113" t="str">
        <f>IF(AND(ABS(Feb!J88)&gt;קריטריונים!$B$2,Feb!B88&gt;קריטריונים!$B$3),Feb!J88,"")</f>
        <v/>
      </c>
      <c r="AQ87" s="113" t="str">
        <f>IF(AND(ABS(Feb!F88)&gt;קריטריונים!$B$1,Feb!B88&gt;קריטריונים!$B$3),Feb!F88,"")</f>
        <v/>
      </c>
      <c r="AR87" s="113" t="str">
        <f>IF(AND(ABS(Feb!E88)&gt;קריטריונים!$B$1,Feb!B88&gt;קריטריונים!$B$3),Feb!E88,"")</f>
        <v/>
      </c>
      <c r="AS87" s="113" t="str">
        <f>IF(AND(ABS(Jan!F88)&gt;קריטריונים!$B$1,Jan!B88&gt;קריטריונים!$B$3),Jan!F88,"")</f>
        <v/>
      </c>
      <c r="AT87" s="103" t="str">
        <f>IF(AND(ABS(Jan!E88)&gt;קריטריונים!$B$1,Jan!B88&gt;קריטריונים!$B$3),Jan!E88,"")</f>
        <v/>
      </c>
      <c r="AU87" s="118" t="s">
        <v>74</v>
      </c>
      <c r="AV87" s="4"/>
    </row>
    <row r="88" spans="1:48">
      <c r="A88" s="112" t="str">
        <f>IF(AND(ABS(Dec!K89)&gt;קריטריונים!$B$2,Dec!B89&gt;קריטריונים!$B$3),Dec!K89,"")</f>
        <v/>
      </c>
      <c r="B88" s="113" t="str">
        <f>IF(AND(ABS(Dec!J89)&gt;קריטריונים!$B$2,Dec!B89&gt;קריטריונים!$B$3),Dec!J89,"")</f>
        <v/>
      </c>
      <c r="C88" s="113" t="str">
        <f>IF(AND(ABS(Dec!F89)&gt;קריטריונים!$B$1,Dec!B89&gt;קריטריונים!$B$3),Dec!F89,"")</f>
        <v/>
      </c>
      <c r="D88" s="113" t="str">
        <f>IF(AND(ABS(Dec!E89)&gt;קריטריונים!$B$1,Dec!B89&gt;קריטריונים!$B$3),Dec!E89,"")</f>
        <v/>
      </c>
      <c r="E88" s="113" t="str">
        <f>IF(AND(ABS(Nov!K89)&gt;קריטריונים!$B$2,Nov!B89&gt;קריטריונים!$B$3),Nov!K89,"")</f>
        <v/>
      </c>
      <c r="F88" s="113" t="str">
        <f>IF(AND(ABS(Nov!J89)&gt;קריטריונים!$B$2,Nov!B89&gt;קריטריונים!$B$3),Nov!J89,"")</f>
        <v/>
      </c>
      <c r="G88" s="113" t="str">
        <f>IF(AND(ABS(Nov!F89)&gt;קריטריונים!$B$1,Nov!B89&gt;קריטריונים!$B$3),Nov!F89,"")</f>
        <v/>
      </c>
      <c r="H88" s="113" t="str">
        <f>IF(AND(ABS(Nov!E89)&gt;קריטריונים!$B$1,Nov!B89&gt;קריטריונים!$B$3),Nov!E89,"")</f>
        <v/>
      </c>
      <c r="I88" s="113" t="str">
        <f>IF(AND(ABS(Oct!K89)&gt;קריטריונים!$B$2,Oct!B89&gt;קריטריונים!$B$3),Oct!K89,"")</f>
        <v/>
      </c>
      <c r="J88" s="113" t="str">
        <f>IF(AND(ABS(Oct!J89)&gt;קריטריונים!$B$2,Oct!B89&gt;קריטריונים!$B$3),Oct!J89,"")</f>
        <v/>
      </c>
      <c r="K88" s="113" t="str">
        <f>IF(AND(ABS(Oct!F89)&gt;קריטריונים!$B$1,Oct!B89&gt;קריטריונים!$B$3),Oct!F89,"")</f>
        <v/>
      </c>
      <c r="L88" s="113" t="str">
        <f>IF(AND(ABS(Oct!E89)&gt;קריטריונים!$B$1,Oct!B89&gt;קריטריונים!$B$3),Oct!E89,"")</f>
        <v/>
      </c>
      <c r="M88" s="113" t="str">
        <f>IF(AND(ABS(Sep!K89)&gt;קריטריונים!$B$2,Sep!B89&gt;קריטריונים!$B$3),Sep!K89,"")</f>
        <v/>
      </c>
      <c r="N88" s="113" t="str">
        <f>IF(AND(ABS(Sep!J89)&gt;קריטריונים!$B$2,Sep!B89&gt;קריטריונים!$B$3),Sep!J89,"")</f>
        <v/>
      </c>
      <c r="O88" s="113" t="str">
        <f>IF(AND(ABS(Sep!F89)&gt;קריטריונים!$B$1,Sep!B89&gt;קריטריונים!$B$3),Sep!F89,"")</f>
        <v/>
      </c>
      <c r="P88" s="113" t="str">
        <f>IF(AND(ABS(Sep!E89)&gt;קריטריונים!$B$1,Sep!B89&gt;קריטריונים!$B$3),Sep!E89,"")</f>
        <v/>
      </c>
      <c r="Q88" s="113" t="str">
        <f>IF(AND(ABS(Aug!K89)&gt;קריטריונים!$B$2,Aug!B89&gt;קריטריונים!$B$3),Aug!K89,"")</f>
        <v/>
      </c>
      <c r="R88" s="113" t="str">
        <f>IF(AND(ABS(Aug!J89)&gt;קריטריונים!$B$2,Aug!B89&gt;קריטריונים!$B$3),Aug!J89,"")</f>
        <v/>
      </c>
      <c r="S88" s="113" t="str">
        <f>IF(AND(ABS(Aug!F89)&gt;קריטריונים!$B$1,Aug!B89&gt;קריטריונים!$B$3),Aug!F89,"")</f>
        <v/>
      </c>
      <c r="T88" s="113" t="str">
        <f>IF(AND(ABS(Aug!E89)&gt;קריטריונים!$B$1,Aug!B89&gt;קריטריונים!$B$3),Aug!E89,"")</f>
        <v/>
      </c>
      <c r="U88" s="113" t="str">
        <f>IF(AND(ABS(Jul!K89)&gt;קריטריונים!$B$2,Jul!B89&gt;קריטריונים!$B$3),Jul!K89,"")</f>
        <v/>
      </c>
      <c r="V88" s="113" t="str">
        <f>IF(AND(ABS(Jul!J89)&gt;קריטריונים!$B$2,Jul!B89&gt;קריטריונים!$B$3),Jul!J89,"")</f>
        <v/>
      </c>
      <c r="W88" s="113" t="str">
        <f>IF(AND(ABS(Jul!F89)&gt;קריטריונים!$B$1,Jul!B89&gt;קריטריונים!$B$3),Jul!F89,"")</f>
        <v/>
      </c>
      <c r="X88" s="113" t="str">
        <f>IF(AND(ABS(Jul!E89)&gt;קריטריונים!$B$1,Jul!B89&gt;קריטריונים!$B$3),Jul!E89,"")</f>
        <v/>
      </c>
      <c r="Y88" s="113" t="str">
        <f>IF(AND(ABS(Jun!K89)&gt;קריטריונים!$B$2,Jun!B89&gt;קריטריונים!$B$3),Jun!K89,"")</f>
        <v/>
      </c>
      <c r="Z88" s="113" t="str">
        <f>IF(AND(ABS(Jun!J89)&gt;קריטריונים!$B$2,Jun!B89&gt;קריטריונים!$B$3),Jun!J89,"")</f>
        <v/>
      </c>
      <c r="AA88" s="113" t="str">
        <f>IF(AND(ABS(Jun!F89)&gt;קריטריונים!$B$1,Jun!B89&gt;קריטריונים!$B$3),Jun!F89,"")</f>
        <v/>
      </c>
      <c r="AB88" s="113" t="str">
        <f>IF(AND(ABS(Jun!E89)&gt;קריטריונים!$B$1,Jun!B89&gt;קריטריונים!$B$3),Jun!E89,"")</f>
        <v/>
      </c>
      <c r="AC88" s="113" t="str">
        <f>IF(AND(ABS(May!K89)&gt;קריטריונים!$B$2,May!B89&gt;קריטריונים!$B$3),May!K89,"")</f>
        <v/>
      </c>
      <c r="AD88" s="113" t="str">
        <f>IF(AND(ABS(May!J89)&gt;קריטריונים!$B$2,May!B89&gt;קריטריונים!$B$3),May!J89,"")</f>
        <v/>
      </c>
      <c r="AE88" s="113" t="str">
        <f>IF(AND(ABS(May!F89)&gt;קריטריונים!$B$1,May!B89&gt;קריטריונים!$B$3),May!F89,"")</f>
        <v/>
      </c>
      <c r="AF88" s="113" t="str">
        <f>IF(AND(ABS(May!E89)&gt;קריטריונים!$B$1,May!B89&gt;קריטריונים!$B$3),May!E89,"")</f>
        <v/>
      </c>
      <c r="AG88" s="113" t="str">
        <f>IF(AND(ABS(Apr!K89)&gt;קריטריונים!$B$2,Apr!B89&gt;קריטריונים!$B$3),Apr!K89,"")</f>
        <v/>
      </c>
      <c r="AH88" s="113" t="str">
        <f>IF(AND(ABS(Apr!J89)&gt;קריטריונים!$B$2,Apr!B89&gt;קריטריונים!$B$3),Apr!J89,"")</f>
        <v/>
      </c>
      <c r="AI88" s="113" t="str">
        <f>IF(AND(ABS(Apr!F89)&gt;קריטריונים!$B$1,Apr!B89&gt;קריטריונים!$B$3),Apr!F89,"")</f>
        <v/>
      </c>
      <c r="AJ88" s="113" t="str">
        <f>IF(AND(ABS(Apr!E89)&gt;קריטריונים!$B$1,Apr!B89&gt;קריטריונים!$B$3),Apr!E89,"")</f>
        <v/>
      </c>
      <c r="AK88" s="113" t="str">
        <f>IF(AND(ABS(Mar!K89)&gt;קריטריונים!$B$2,Mar!B89&gt;קריטריונים!$B$3),Mar!K89,"")</f>
        <v/>
      </c>
      <c r="AL88" s="113" t="str">
        <f>IF(AND(ABS(Mar!J89)&gt;קריטריונים!$B$2,Mar!B89&gt;קריטריונים!$B$3),Mar!J89,"")</f>
        <v/>
      </c>
      <c r="AM88" s="113" t="str">
        <f>IF(AND(ABS(Mar!F89)&gt;קריטריונים!$B$1,Mar!B89&gt;קריטריונים!$B$3),Mar!F89,"")</f>
        <v/>
      </c>
      <c r="AN88" s="113" t="str">
        <f>IF(AND(ABS(Mar!E89)&gt;קריטריונים!$B$1,Mar!B89&gt;קריטריונים!$B$3),Mar!E89,"")</f>
        <v/>
      </c>
      <c r="AO88" s="113" t="str">
        <f>IF(AND(ABS(Feb!K89)&gt;קריטריונים!$B$2,Feb!B89&gt;קריטריונים!$B$3),Feb!K89,"")</f>
        <v/>
      </c>
      <c r="AP88" s="113" t="str">
        <f>IF(AND(ABS(Feb!J89)&gt;קריטריונים!$B$2,Feb!B89&gt;קריטריונים!$B$3),Feb!J89,"")</f>
        <v/>
      </c>
      <c r="AQ88" s="113" t="str">
        <f>IF(AND(ABS(Feb!F89)&gt;קריטריונים!$B$1,Feb!B89&gt;קריטריונים!$B$3),Feb!F89,"")</f>
        <v/>
      </c>
      <c r="AR88" s="113" t="str">
        <f>IF(AND(ABS(Feb!E89)&gt;קריטריונים!$B$1,Feb!B89&gt;קריטריונים!$B$3),Feb!E89,"")</f>
        <v/>
      </c>
      <c r="AS88" s="113" t="str">
        <f>IF(AND(ABS(Jan!F89)&gt;קריטריונים!$B$1,Jan!B89&gt;קריטריונים!$B$3),Jan!F89,"")</f>
        <v/>
      </c>
      <c r="AT88" s="103" t="str">
        <f>IF(AND(ABS(Jan!E89)&gt;קריטריונים!$B$1,Jan!B89&gt;קריטריונים!$B$3),Jan!E89,"")</f>
        <v/>
      </c>
      <c r="AU88" s="118" t="s">
        <v>75</v>
      </c>
      <c r="AV88" s="4"/>
    </row>
    <row r="89" spans="1:48">
      <c r="A89" s="112" t="str">
        <f>IF(AND(ABS(Dec!K90)&gt;קריטריונים!$B$2,Dec!B90&gt;קריטריונים!$B$3),Dec!K90,"")</f>
        <v/>
      </c>
      <c r="B89" s="113" t="str">
        <f>IF(AND(ABS(Dec!J90)&gt;קריטריונים!$B$2,Dec!B90&gt;קריטריונים!$B$3),Dec!J90,"")</f>
        <v/>
      </c>
      <c r="C89" s="113" t="str">
        <f>IF(AND(ABS(Dec!F90)&gt;קריטריונים!$B$1,Dec!B90&gt;קריטריונים!$B$3),Dec!F90,"")</f>
        <v/>
      </c>
      <c r="D89" s="113" t="str">
        <f>IF(AND(ABS(Dec!E90)&gt;קריטריונים!$B$1,Dec!B90&gt;קריטריונים!$B$3),Dec!E90,"")</f>
        <v/>
      </c>
      <c r="E89" s="113" t="str">
        <f>IF(AND(ABS(Nov!K90)&gt;קריטריונים!$B$2,Nov!B90&gt;קריטריונים!$B$3),Nov!K90,"")</f>
        <v/>
      </c>
      <c r="F89" s="113" t="str">
        <f>IF(AND(ABS(Nov!J90)&gt;קריטריונים!$B$2,Nov!B90&gt;קריטריונים!$B$3),Nov!J90,"")</f>
        <v/>
      </c>
      <c r="G89" s="113" t="str">
        <f>IF(AND(ABS(Nov!F90)&gt;קריטריונים!$B$1,Nov!B90&gt;קריטריונים!$B$3),Nov!F90,"")</f>
        <v/>
      </c>
      <c r="H89" s="113" t="str">
        <f>IF(AND(ABS(Nov!E90)&gt;קריטריונים!$B$1,Nov!B90&gt;קריטריונים!$B$3),Nov!E90,"")</f>
        <v/>
      </c>
      <c r="I89" s="113" t="str">
        <f>IF(AND(ABS(Oct!K90)&gt;קריטריונים!$B$2,Oct!B90&gt;קריטריונים!$B$3),Oct!K90,"")</f>
        <v/>
      </c>
      <c r="J89" s="113" t="str">
        <f>IF(AND(ABS(Oct!J90)&gt;קריטריונים!$B$2,Oct!B90&gt;קריטריונים!$B$3),Oct!J90,"")</f>
        <v/>
      </c>
      <c r="K89" s="113" t="str">
        <f>IF(AND(ABS(Oct!F90)&gt;קריטריונים!$B$1,Oct!B90&gt;קריטריונים!$B$3),Oct!F90,"")</f>
        <v/>
      </c>
      <c r="L89" s="113" t="str">
        <f>IF(AND(ABS(Oct!E90)&gt;קריטריונים!$B$1,Oct!B90&gt;קריטריונים!$B$3),Oct!E90,"")</f>
        <v/>
      </c>
      <c r="M89" s="113" t="str">
        <f>IF(AND(ABS(Sep!K90)&gt;קריטריונים!$B$2,Sep!B90&gt;קריטריונים!$B$3),Sep!K90,"")</f>
        <v/>
      </c>
      <c r="N89" s="113" t="str">
        <f>IF(AND(ABS(Sep!J90)&gt;קריטריונים!$B$2,Sep!B90&gt;קריטריונים!$B$3),Sep!J90,"")</f>
        <v/>
      </c>
      <c r="O89" s="113" t="str">
        <f>IF(AND(ABS(Sep!F90)&gt;קריטריונים!$B$1,Sep!B90&gt;קריטריונים!$B$3),Sep!F90,"")</f>
        <v/>
      </c>
      <c r="P89" s="113" t="str">
        <f>IF(AND(ABS(Sep!E90)&gt;קריטריונים!$B$1,Sep!B90&gt;קריטריונים!$B$3),Sep!E90,"")</f>
        <v/>
      </c>
      <c r="Q89" s="113" t="str">
        <f>IF(AND(ABS(Aug!K90)&gt;קריטריונים!$B$2,Aug!B90&gt;קריטריונים!$B$3),Aug!K90,"")</f>
        <v/>
      </c>
      <c r="R89" s="113" t="str">
        <f>IF(AND(ABS(Aug!J90)&gt;קריטריונים!$B$2,Aug!B90&gt;קריטריונים!$B$3),Aug!J90,"")</f>
        <v/>
      </c>
      <c r="S89" s="113" t="str">
        <f>IF(AND(ABS(Aug!F90)&gt;קריטריונים!$B$1,Aug!B90&gt;קריטריונים!$B$3),Aug!F90,"")</f>
        <v/>
      </c>
      <c r="T89" s="113" t="str">
        <f>IF(AND(ABS(Aug!E90)&gt;קריטריונים!$B$1,Aug!B90&gt;קריטריונים!$B$3),Aug!E90,"")</f>
        <v/>
      </c>
      <c r="U89" s="113" t="str">
        <f>IF(AND(ABS(Jul!K90)&gt;קריטריונים!$B$2,Jul!B90&gt;קריטריונים!$B$3),Jul!K90,"")</f>
        <v/>
      </c>
      <c r="V89" s="113" t="str">
        <f>IF(AND(ABS(Jul!J90)&gt;קריטריונים!$B$2,Jul!B90&gt;קריטריונים!$B$3),Jul!J90,"")</f>
        <v/>
      </c>
      <c r="W89" s="113" t="str">
        <f>IF(AND(ABS(Jul!F90)&gt;קריטריונים!$B$1,Jul!B90&gt;קריטריונים!$B$3),Jul!F90,"")</f>
        <v/>
      </c>
      <c r="X89" s="113" t="str">
        <f>IF(AND(ABS(Jul!E90)&gt;קריטריונים!$B$1,Jul!B90&gt;קריטריונים!$B$3),Jul!E90,"")</f>
        <v/>
      </c>
      <c r="Y89" s="113" t="str">
        <f>IF(AND(ABS(Jun!K90)&gt;קריטריונים!$B$2,Jun!B90&gt;קריטריונים!$B$3),Jun!K90,"")</f>
        <v/>
      </c>
      <c r="Z89" s="113" t="str">
        <f>IF(AND(ABS(Jun!J90)&gt;קריטריונים!$B$2,Jun!B90&gt;קריטריונים!$B$3),Jun!J90,"")</f>
        <v/>
      </c>
      <c r="AA89" s="113" t="str">
        <f>IF(AND(ABS(Jun!F90)&gt;קריטריונים!$B$1,Jun!B90&gt;קריטריונים!$B$3),Jun!F90,"")</f>
        <v/>
      </c>
      <c r="AB89" s="113" t="str">
        <f>IF(AND(ABS(Jun!E90)&gt;קריטריונים!$B$1,Jun!B90&gt;קריטריונים!$B$3),Jun!E90,"")</f>
        <v/>
      </c>
      <c r="AC89" s="113" t="str">
        <f>IF(AND(ABS(May!K90)&gt;קריטריונים!$B$2,May!B90&gt;קריטריונים!$B$3),May!K90,"")</f>
        <v/>
      </c>
      <c r="AD89" s="113" t="str">
        <f>IF(AND(ABS(May!J90)&gt;קריטריונים!$B$2,May!B90&gt;קריטריונים!$B$3),May!J90,"")</f>
        <v/>
      </c>
      <c r="AE89" s="113" t="str">
        <f>IF(AND(ABS(May!F90)&gt;קריטריונים!$B$1,May!B90&gt;קריטריונים!$B$3),May!F90,"")</f>
        <v/>
      </c>
      <c r="AF89" s="113" t="str">
        <f>IF(AND(ABS(May!E90)&gt;קריטריונים!$B$1,May!B90&gt;קריטריונים!$B$3),May!E90,"")</f>
        <v/>
      </c>
      <c r="AG89" s="113" t="str">
        <f>IF(AND(ABS(Apr!K90)&gt;קריטריונים!$B$2,Apr!B90&gt;קריטריונים!$B$3),Apr!K90,"")</f>
        <v/>
      </c>
      <c r="AH89" s="113" t="str">
        <f>IF(AND(ABS(Apr!J90)&gt;קריטריונים!$B$2,Apr!B90&gt;קריטריונים!$B$3),Apr!J90,"")</f>
        <v/>
      </c>
      <c r="AI89" s="113" t="str">
        <f>IF(AND(ABS(Apr!F90)&gt;קריטריונים!$B$1,Apr!B90&gt;קריטריונים!$B$3),Apr!F90,"")</f>
        <v/>
      </c>
      <c r="AJ89" s="113" t="str">
        <f>IF(AND(ABS(Apr!E90)&gt;קריטריונים!$B$1,Apr!B90&gt;קריטריונים!$B$3),Apr!E90,"")</f>
        <v/>
      </c>
      <c r="AK89" s="113" t="str">
        <f>IF(AND(ABS(Mar!K90)&gt;קריטריונים!$B$2,Mar!B90&gt;קריטריונים!$B$3),Mar!K90,"")</f>
        <v/>
      </c>
      <c r="AL89" s="113" t="str">
        <f>IF(AND(ABS(Mar!J90)&gt;קריטריונים!$B$2,Mar!B90&gt;קריטריונים!$B$3),Mar!J90,"")</f>
        <v/>
      </c>
      <c r="AM89" s="113" t="str">
        <f>IF(AND(ABS(Mar!F90)&gt;קריטריונים!$B$1,Mar!B90&gt;קריטריונים!$B$3),Mar!F90,"")</f>
        <v/>
      </c>
      <c r="AN89" s="113" t="str">
        <f>IF(AND(ABS(Mar!E90)&gt;קריטריונים!$B$1,Mar!B90&gt;קריטריונים!$B$3),Mar!E90,"")</f>
        <v/>
      </c>
      <c r="AO89" s="113" t="str">
        <f>IF(AND(ABS(Feb!K90)&gt;קריטריונים!$B$2,Feb!B90&gt;קריטריונים!$B$3),Feb!K90,"")</f>
        <v/>
      </c>
      <c r="AP89" s="113" t="str">
        <f>IF(AND(ABS(Feb!J90)&gt;קריטריונים!$B$2,Feb!B90&gt;קריטריונים!$B$3),Feb!J90,"")</f>
        <v/>
      </c>
      <c r="AQ89" s="113" t="str">
        <f>IF(AND(ABS(Feb!F90)&gt;קריטריונים!$B$1,Feb!B90&gt;קריטריונים!$B$3),Feb!F90,"")</f>
        <v/>
      </c>
      <c r="AR89" s="113" t="str">
        <f>IF(AND(ABS(Feb!E90)&gt;קריטריונים!$B$1,Feb!B90&gt;קריטריונים!$B$3),Feb!E90,"")</f>
        <v/>
      </c>
      <c r="AS89" s="113" t="str">
        <f>IF(AND(ABS(Jan!F90)&gt;קריטריונים!$B$1,Jan!B90&gt;קריטריונים!$B$3),Jan!F90,"")</f>
        <v/>
      </c>
      <c r="AT89" s="103" t="str">
        <f>IF(AND(ABS(Jan!E90)&gt;קריטריונים!$B$1,Jan!B90&gt;קריטריונים!$B$3),Jan!E90,"")</f>
        <v/>
      </c>
      <c r="AU89" s="118"/>
      <c r="AV89" s="4"/>
    </row>
    <row r="90" spans="1:48">
      <c r="A90" s="112" t="str">
        <f>IF(AND(ABS(Dec!K91)&gt;קריטריונים!$B$2,Dec!B91&gt;קריטריונים!$B$3),Dec!K91,"")</f>
        <v/>
      </c>
      <c r="B90" s="113" t="str">
        <f>IF(AND(ABS(Dec!J91)&gt;קריטריונים!$B$2,Dec!B91&gt;קריטריונים!$B$3),Dec!J91,"")</f>
        <v/>
      </c>
      <c r="C90" s="113" t="str">
        <f>IF(AND(ABS(Dec!F91)&gt;קריטריונים!$B$1,Dec!B91&gt;קריטריונים!$B$3),Dec!F91,"")</f>
        <v/>
      </c>
      <c r="D90" s="113" t="str">
        <f>IF(AND(ABS(Dec!E91)&gt;קריטריונים!$B$1,Dec!B91&gt;קריטריונים!$B$3),Dec!E91,"")</f>
        <v/>
      </c>
      <c r="E90" s="113">
        <f>IF(AND(ABS(Nov!K91)&gt;קריטריונים!$B$2,Nov!B91&gt;קריטריונים!$B$3),Nov!K91,"")</f>
        <v>0.3748072316829083</v>
      </c>
      <c r="F90" s="113">
        <f>IF(AND(ABS(Nov!J91)&gt;קריטריונים!$B$2,Nov!B91&gt;קריטריונים!$B$3),Nov!J91,"")</f>
        <v>0.37915144333629569</v>
      </c>
      <c r="G90" s="113">
        <f>IF(AND(ABS(Nov!F91)&gt;קריטריונים!$B$1,Nov!B91&gt;קריטריונים!$B$3),Nov!F91,"")</f>
        <v>0.48001973359644778</v>
      </c>
      <c r="H90" s="113">
        <f>IF(AND(ABS(Nov!E91)&gt;קריטריונים!$B$1,Nov!B91&gt;קריטריונים!$B$3),Nov!E91,"")</f>
        <v>4.9317943336831149E-2</v>
      </c>
      <c r="I90" s="113">
        <f>IF(AND(ABS(Oct!K91)&gt;קריטריונים!$B$2,Oct!B91&gt;קריטריונים!$B$3),Oct!K91,"")</f>
        <v>0.36731107205623892</v>
      </c>
      <c r="J90" s="113">
        <f>IF(AND(ABS(Oct!J91)&gt;קריטריונים!$B$2,Oct!B91&gt;קריטריונים!$B$3),Oct!J91,"")</f>
        <v>0.41341472276724067</v>
      </c>
      <c r="K90" s="113">
        <f>IF(AND(ABS(Oct!F91)&gt;קריטריונים!$B$1,Oct!B91&gt;קריטריונים!$B$3),Oct!F91,"")</f>
        <v>1.2898266274124959</v>
      </c>
      <c r="L90" s="113">
        <f>IF(AND(ABS(Oct!E91)&gt;קריטריונים!$B$1,Oct!B91&gt;קריטריונים!$B$3),Oct!E91,"")</f>
        <v>1.6995757809487082</v>
      </c>
      <c r="M90" s="113">
        <f>IF(AND(ABS(Sep!K91)&gt;קריטריונים!$B$2,Sep!B91&gt;קריטריונים!$B$3),Sep!K91,"")</f>
        <v>0.25625172291576415</v>
      </c>
      <c r="N90" s="113">
        <f>IF(AND(ABS(Sep!J91)&gt;קריטריונים!$B$2,Sep!B91&gt;קריטריונים!$B$3),Sep!J91,"")</f>
        <v>0.279634161017289</v>
      </c>
      <c r="O90" s="113">
        <f>IF(AND(ABS(Sep!F91)&gt;קריטריונים!$B$1,Sep!B91&gt;קריטריונים!$B$3),Sep!F91,"")</f>
        <v>0.18221536879979428</v>
      </c>
      <c r="P90" s="113">
        <f>IF(AND(ABS(Sep!E91)&gt;קריטריונים!$B$1,Sep!B91&gt;קריטריונים!$B$3),Sep!E91,"")</f>
        <v>7.2261072261072146E-2</v>
      </c>
      <c r="Q90" s="113">
        <f>IF(AND(ABS(Aug!K91)&gt;קריטריונים!$B$2,Aug!B91&gt;קריטריונים!$B$3),Aug!K91,"")</f>
        <v>0.26964933494558663</v>
      </c>
      <c r="R90" s="113">
        <f>IF(AND(ABS(Aug!J91)&gt;קריטריונים!$B$2,Aug!B91&gt;קריטריונים!$B$3),Aug!J91,"")</f>
        <v>0.32273850477251798</v>
      </c>
      <c r="S90" s="113">
        <f>IF(AND(ABS(Aug!F91)&gt;קריטריונים!$B$1,Aug!B91&gt;קריטריונים!$B$3),Aug!F91,"")</f>
        <v>4.6106160402944463E-2</v>
      </c>
      <c r="T90" s="113">
        <f>IF(AND(ABS(Aug!E91)&gt;קריטריונים!$B$1,Aug!B91&gt;קריטריונים!$B$3),Aug!E91,"")</f>
        <v>0.40478668054110289</v>
      </c>
      <c r="U90" s="113">
        <f>IF(AND(ABS(Jul!K91)&gt;קריטריונים!$B$2,Jul!B91&gt;קריטריונים!$B$3),Jul!K91,"")</f>
        <v>0.14407962050041867</v>
      </c>
      <c r="V90" s="113">
        <f>IF(AND(ABS(Jul!J91)&gt;קריטריונים!$B$2,Jul!B91&gt;קריטריונים!$B$3),Jul!J91,"")</f>
        <v>0.31431319121654111</v>
      </c>
      <c r="W90" s="113">
        <f>IF(AND(ABS(Jul!F91)&gt;קריטריונים!$B$1,Jul!B91&gt;קריטריונים!$B$3),Jul!F91,"")</f>
        <v>0.44343739509902647</v>
      </c>
      <c r="X90" s="113">
        <f>IF(AND(ABS(Jul!E91)&gt;קריטריונים!$B$1,Jul!B91&gt;קריטריונים!$B$3),Jul!E91,"")</f>
        <v>0.24277456647398843</v>
      </c>
      <c r="Y90" s="113">
        <f>IF(AND(ABS(Jun!K91)&gt;קריטריונים!$B$2,Jun!B91&gt;קריטריונים!$B$3),Jun!K91,"")</f>
        <v>0.12098956320061838</v>
      </c>
      <c r="Z90" s="113">
        <f>IF(AND(ABS(Jun!J91)&gt;קריטריונים!$B$2,Jun!B91&gt;קריטריונים!$B$3),Jun!J91,"")</f>
        <v>0.33053680277905206</v>
      </c>
      <c r="AA90" s="113">
        <f>IF(AND(ABS(Jun!F91)&gt;קריטריונים!$B$1,Jun!B91&gt;קריטריונים!$B$3),Jun!F91,"")</f>
        <v>0.31255127153404416</v>
      </c>
      <c r="AB90" s="113">
        <f>IF(AND(ABS(Jun!E91)&gt;קריטריונים!$B$1,Jun!B91&gt;קריטריונים!$B$3),Jun!E91,"")</f>
        <v>0.43070044709388977</v>
      </c>
      <c r="AC90" s="113">
        <f>IF(AND(ABS(May!K91)&gt;קריטריונים!$B$2,May!B91&gt;קריטריונים!$B$3),May!K91,"")</f>
        <v>0.26170126170126173</v>
      </c>
      <c r="AD90" s="113">
        <f>IF(AND(ABS(May!J91)&gt;קריטריונים!$B$2,May!B91&gt;קריטריונים!$B$3),May!J91,"")</f>
        <v>0.30230213409510998</v>
      </c>
      <c r="AE90" s="113">
        <f>IF(AND(ABS(May!F91)&gt;קריטריונים!$B$1,May!B91&gt;קריטריונים!$B$3),May!F91,"")</f>
        <v>0.27710127710127708</v>
      </c>
      <c r="AF90" s="113">
        <f>IF(AND(ABS(May!E91)&gt;קריטריונים!$B$1,May!B91&gt;קריטריונים!$B$3),May!E91,"")</f>
        <v>0.27106118829441317</v>
      </c>
      <c r="AG90" s="113">
        <f>IF(AND(ABS(Apr!K91)&gt;קריטריונים!$B$2,Apr!B91&gt;קריטריונים!$B$3),Apr!K91,"")</f>
        <v>0.25588697017268447</v>
      </c>
      <c r="AH90" s="113">
        <f>IF(AND(ABS(Apr!J91)&gt;קריטריונים!$B$2,Apr!B91&gt;קריטריונים!$B$3),Apr!J91,"")</f>
        <v>0.31470829909613784</v>
      </c>
      <c r="AI90" s="113">
        <f>IF(AND(ABS(Apr!F91)&gt;קריטריונים!$B$1,Apr!B91&gt;קריטריונים!$B$3),Apr!F91,"")</f>
        <v>0.48652833694642283</v>
      </c>
      <c r="AJ90" s="113">
        <f>IF(AND(ABS(Apr!E91)&gt;קריטריונים!$B$1,Apr!B91&gt;קריטריונים!$B$3),Apr!E91,"")</f>
        <v>0.53895479320294948</v>
      </c>
      <c r="AK90" s="113">
        <f>IF(AND(ABS(Mar!K91)&gt;קריטריונים!$B$2,Mar!B91&gt;קריטריונים!$B$3),Mar!K91,"")</f>
        <v>0.12497802777289513</v>
      </c>
      <c r="AL90" s="113">
        <f>IF(AND(ABS(Mar!J91)&gt;קריטריונים!$B$2,Mar!B91&gt;קריטריונים!$B$3),Mar!J91,"")</f>
        <v>0.18518518518518512</v>
      </c>
      <c r="AM90" s="113">
        <f>IF(AND(ABS(Mar!F91)&gt;קריטריונים!$B$1,Mar!B91&gt;קריטריונים!$B$3),Mar!F91,"")</f>
        <v>4.986876640419946E-2</v>
      </c>
      <c r="AN90" s="113">
        <f>IF(AND(ABS(Mar!E91)&gt;קריטריונים!$B$1,Mar!B91&gt;קריטריונים!$B$3),Mar!E91,"")</f>
        <v>0.2288786482334868</v>
      </c>
      <c r="AO90" s="113" t="str">
        <f>IF(AND(ABS(Feb!K91)&gt;קריטריונים!$B$2,Feb!B91&gt;קריטריונים!$B$3),Feb!K91,"")</f>
        <v/>
      </c>
      <c r="AP90" s="113" t="str">
        <f>IF(AND(ABS(Feb!J91)&gt;קריטריונים!$B$2,Feb!B91&gt;קריטריונים!$B$3),Feb!J91,"")</f>
        <v/>
      </c>
      <c r="AQ90" s="113" t="str">
        <f>IF(AND(ABS(Feb!F91)&gt;קריטריונים!$B$1,Feb!B91&gt;קריטריונים!$B$3),Feb!F91,"")</f>
        <v/>
      </c>
      <c r="AR90" s="113" t="str">
        <f>IF(AND(ABS(Feb!E91)&gt;קריטריונים!$B$1,Feb!B91&gt;קריטריונים!$B$3),Feb!E91,"")</f>
        <v/>
      </c>
      <c r="AS90" s="113">
        <f>IF(AND(ABS(Jan!F91)&gt;קריטריונים!$B$1,Jan!B91&gt;קריטריונים!$B$3),Jan!F91,"")</f>
        <v>0.25125125125125125</v>
      </c>
      <c r="AT90" s="103">
        <f>IF(AND(ABS(Jan!E91)&gt;קריטריונים!$B$1,Jan!B91&gt;קריטריונים!$B$3),Jan!E91,"")</f>
        <v>0.11209964412811368</v>
      </c>
      <c r="AU90" s="118" t="s">
        <v>76</v>
      </c>
      <c r="AV90" s="4"/>
    </row>
    <row r="91" spans="1:48">
      <c r="A91" s="112" t="str">
        <f>IF(AND(ABS(Dec!K92)&gt;קריטריונים!$B$2,Dec!B92&gt;קריטריונים!$B$3),Dec!K92,"")</f>
        <v/>
      </c>
      <c r="B91" s="113" t="str">
        <f>IF(AND(ABS(Dec!J92)&gt;קריטריונים!$B$2,Dec!B92&gt;קריטריונים!$B$3),Dec!J92,"")</f>
        <v/>
      </c>
      <c r="C91" s="113" t="str">
        <f>IF(AND(ABS(Dec!F92)&gt;קריטריונים!$B$1,Dec!B92&gt;קריטריונים!$B$3),Dec!F92,"")</f>
        <v/>
      </c>
      <c r="D91" s="113" t="str">
        <f>IF(AND(ABS(Dec!E92)&gt;קריטריונים!$B$1,Dec!B92&gt;קריטריונים!$B$3),Dec!E92,"")</f>
        <v/>
      </c>
      <c r="E91" s="113">
        <f>IF(AND(ABS(Nov!K92)&gt;קריטריונים!$B$2,Nov!B92&gt;קריטריונים!$B$3),Nov!K92,"")</f>
        <v>0.38803445093817301</v>
      </c>
      <c r="F91" s="113">
        <f>IF(AND(ABS(Nov!J92)&gt;קריטריונים!$B$2,Nov!B92&gt;קריטריונים!$B$3),Nov!J92,"")</f>
        <v>0.37325015216068169</v>
      </c>
      <c r="G91" s="113">
        <f>IF(AND(ABS(Nov!F92)&gt;קריטריונים!$B$1,Nov!B92&gt;קריטריונים!$B$3),Nov!F92,"")</f>
        <v>0.46809712027103334</v>
      </c>
      <c r="H91" s="113">
        <f>IF(AND(ABS(Nov!E92)&gt;קריטריונים!$B$1,Nov!B92&gt;קריטריונים!$B$3),Nov!E92,"")</f>
        <v>5.3057918185500208E-2</v>
      </c>
      <c r="I91" s="113">
        <f>IF(AND(ABS(Oct!K92)&gt;קריטריונים!$B$2,Oct!B92&gt;קריטריונים!$B$3),Oct!K92,"")</f>
        <v>0.38218426372900938</v>
      </c>
      <c r="J91" s="113">
        <f>IF(AND(ABS(Oct!J92)&gt;קריטריונים!$B$2,Oct!B92&gt;קריטריונים!$B$3),Oct!J92,"")</f>
        <v>0.40644023678575936</v>
      </c>
      <c r="K91" s="113">
        <f>IF(AND(ABS(Oct!F92)&gt;קריטריונים!$B$1,Oct!B92&gt;קריטריונים!$B$3),Oct!F92,"")</f>
        <v>1.1788990825688073</v>
      </c>
      <c r="L91" s="113">
        <f>IF(AND(ABS(Oct!E92)&gt;קריטריונים!$B$1,Oct!B92&gt;קריטריונים!$B$3),Oct!E92,"")</f>
        <v>1.6810912511759173</v>
      </c>
      <c r="M91" s="113">
        <f>IF(AND(ABS(Sep!K92)&gt;קריטריונים!$B$2,Sep!B92&gt;קריטריונים!$B$3),Sep!K92,"")</f>
        <v>0.28578696637528345</v>
      </c>
      <c r="N91" s="113">
        <f>IF(AND(ABS(Sep!J92)&gt;קריטריונים!$B$2,Sep!B92&gt;קריטריונים!$B$3),Sep!J92,"")</f>
        <v>0.28151938413313071</v>
      </c>
      <c r="O91" s="113">
        <f>IF(AND(ABS(Sep!F92)&gt;קריטריונים!$B$1,Sep!B92&gt;קריטריונים!$B$3),Sep!F92,"")</f>
        <v>0.15291262135922334</v>
      </c>
      <c r="P91" s="113">
        <f>IF(AND(ABS(Sep!E92)&gt;קריטריונים!$B$1,Sep!B92&gt;קריטריונים!$B$3),Sep!E92,"")</f>
        <v>2.8416779431664319E-2</v>
      </c>
      <c r="Q91" s="113">
        <f>IF(AND(ABS(Aug!K92)&gt;קריטריונים!$B$2,Aug!B92&gt;קריטריונים!$B$3),Aug!K92,"")</f>
        <v>0.3096862210095499</v>
      </c>
      <c r="R91" s="113">
        <f>IF(AND(ABS(Aug!J92)&gt;קריטריונים!$B$2,Aug!B92&gt;קריטריונים!$B$3),Aug!J92,"")</f>
        <v>0.33348149794421622</v>
      </c>
      <c r="S91" s="113">
        <f>IF(AND(ABS(Aug!F92)&gt;קריטריונים!$B$1,Aug!B92&gt;קריטריונים!$B$3),Aug!F92,"")</f>
        <v>0.22275385433280159</v>
      </c>
      <c r="T91" s="113">
        <f>IF(AND(ABS(Aug!E92)&gt;קריטריונים!$B$1,Aug!B92&gt;קריטריונים!$B$3),Aug!E92,"")</f>
        <v>0.48195876288659778</v>
      </c>
      <c r="U91" s="113">
        <f>IF(AND(ABS(Jul!K92)&gt;קריטריונים!$B$2,Jul!B92&gt;קריטריונים!$B$3),Jul!K92,"")</f>
        <v>0.184174624829468</v>
      </c>
      <c r="V91" s="113">
        <f>IF(AND(ABS(Jul!J92)&gt;קריטריונים!$B$2,Jul!B92&gt;קריטריונים!$B$3),Jul!J92,"")</f>
        <v>0.3194697798856867</v>
      </c>
      <c r="W91" s="113">
        <f>IF(AND(ABS(Jul!F92)&gt;קריטריונים!$B$1,Jul!B92&gt;קריטריונים!$B$3),Jul!F92,"")</f>
        <v>0.43721633888048395</v>
      </c>
      <c r="X91" s="113">
        <f>IF(AND(ABS(Jul!E92)&gt;קריטריונים!$B$1,Jul!B92&gt;קריטריונים!$B$3),Jul!E92,"")</f>
        <v>0.21096239643084758</v>
      </c>
      <c r="Y91" s="113">
        <f>IF(AND(ABS(Jun!K92)&gt;קריטריונים!$B$2,Jun!B92&gt;קריטריונים!$B$3),Jun!K92,"")</f>
        <v>0.13255298956026573</v>
      </c>
      <c r="Z91" s="113">
        <f>IF(AND(ABS(Jun!J92)&gt;קריטריונים!$B$2,Jun!B92&gt;קריטריונים!$B$3),Jun!J92,"")</f>
        <v>0.34505560565073634</v>
      </c>
      <c r="AA91" s="113">
        <f>IF(AND(ABS(Jun!F92)&gt;קריטריונים!$B$1,Jun!B92&gt;קריטריונים!$B$3),Jun!F92,"")</f>
        <v>0.32145052243392747</v>
      </c>
      <c r="AB91" s="113">
        <f>IF(AND(ABS(Jun!E92)&gt;קריטריונים!$B$1,Jun!B92&gt;קריטריונים!$B$3),Jun!E92,"")</f>
        <v>0.45713317519484908</v>
      </c>
      <c r="AC91" s="113">
        <f>IF(AND(ABS(May!K92)&gt;קריטריונים!$B$2,May!B92&gt;קריטריונים!$B$3),May!K92,"")</f>
        <v>0.28958846956191908</v>
      </c>
      <c r="AD91" s="113">
        <f>IF(AND(ABS(May!J92)&gt;קריטריונים!$B$2,May!B92&gt;קריטריונים!$B$3),May!J92,"")</f>
        <v>0.31312156029738336</v>
      </c>
      <c r="AE91" s="113">
        <f>IF(AND(ABS(May!F92)&gt;קריטריונים!$B$1,May!B92&gt;קריטריונים!$B$3),May!F92,"")</f>
        <v>0.30742049469964661</v>
      </c>
      <c r="AF91" s="113">
        <f>IF(AND(ABS(May!E92)&gt;קריטריונים!$B$1,May!B92&gt;קריטריונים!$B$3),May!E92,"")</f>
        <v>0.25594025797691788</v>
      </c>
      <c r="AG91" s="113">
        <f>IF(AND(ABS(Apr!K92)&gt;קריטריונים!$B$2,Apr!B92&gt;קריטריונים!$B$3),Apr!K92,"")</f>
        <v>0.28304821150855353</v>
      </c>
      <c r="AH91" s="113">
        <f>IF(AND(ABS(Apr!J92)&gt;קריטריונים!$B$2,Apr!B92&gt;קריטריונים!$B$3),Apr!J92,"")</f>
        <v>0.33585211172581286</v>
      </c>
      <c r="AI91" s="113">
        <f>IF(AND(ABS(Apr!F92)&gt;קריטריונים!$B$1,Apr!B92&gt;קריטריונים!$B$3),Apr!F92,"")</f>
        <v>0.54287764621456769</v>
      </c>
      <c r="AJ91" s="113">
        <f>IF(AND(ABS(Apr!E92)&gt;קריטריונים!$B$1,Apr!B92&gt;קריטריונים!$B$3),Apr!E92,"")</f>
        <v>0.58554572271386407</v>
      </c>
      <c r="AK91" s="113">
        <f>IF(AND(ABS(Mar!K92)&gt;קריטריונים!$B$2,Mar!B92&gt;קריטריונים!$B$3),Mar!K92,"")</f>
        <v>0.13613308987624251</v>
      </c>
      <c r="AL91" s="113">
        <f>IF(AND(ABS(Mar!J92)&gt;קריטריונים!$B$2,Mar!B92&gt;קריטריונים!$B$3),Mar!J92,"")</f>
        <v>0.19174292402638859</v>
      </c>
      <c r="AM91" s="113">
        <f>IF(AND(ABS(Mar!F92)&gt;קריטריונים!$B$1,Mar!B92&gt;קריטריונים!$B$3),Mar!F92,"")</f>
        <v>4.0160642570281624E-3</v>
      </c>
      <c r="AN91" s="113">
        <f>IF(AND(ABS(Mar!E92)&gt;קריטריונים!$B$1,Mar!B92&gt;קריטריונים!$B$3),Mar!E92,"")</f>
        <v>0.18413262285375964</v>
      </c>
      <c r="AO91" s="113" t="str">
        <f>IF(AND(ABS(Feb!K92)&gt;קריטריונים!$B$2,Feb!B92&gt;קריטריונים!$B$3),Feb!K92,"")</f>
        <v/>
      </c>
      <c r="AP91" s="113" t="str">
        <f>IF(AND(ABS(Feb!J92)&gt;קריטריונים!$B$2,Feb!B92&gt;קריטריונים!$B$3),Feb!J92,"")</f>
        <v/>
      </c>
      <c r="AQ91" s="113" t="str">
        <f>IF(AND(ABS(Feb!F92)&gt;קריטריונים!$B$1,Feb!B92&gt;קריטריונים!$B$3),Feb!F92,"")</f>
        <v/>
      </c>
      <c r="AR91" s="113" t="str">
        <f>IF(AND(ABS(Feb!E92)&gt;קריטריונים!$B$1,Feb!B92&gt;קריטריונים!$B$3),Feb!E92,"")</f>
        <v/>
      </c>
      <c r="AS91" s="113">
        <f>IF(AND(ABS(Jan!F92)&gt;קריטריונים!$B$1,Jan!B92&gt;קריטריונים!$B$3),Jan!F92,"")</f>
        <v>0.3233601841196776</v>
      </c>
      <c r="AT91" s="103">
        <f>IF(AND(ABS(Jan!E92)&gt;קריטריונים!$B$1,Jan!B92&gt;קריטריונים!$B$3),Jan!E92,"")</f>
        <v>0.18191161356628971</v>
      </c>
      <c r="AU91" s="118" t="s">
        <v>77</v>
      </c>
      <c r="AV91" s="4"/>
    </row>
    <row r="92" spans="1:48">
      <c r="A92" s="112" t="str">
        <f>IF(AND(ABS(Dec!K93)&gt;קריטריונים!$B$2,Dec!B93&gt;קריטריונים!$B$3),Dec!K93,"")</f>
        <v/>
      </c>
      <c r="B92" s="113" t="str">
        <f>IF(AND(ABS(Dec!J93)&gt;קריטריונים!$B$2,Dec!B93&gt;קריטריונים!$B$3),Dec!J93,"")</f>
        <v/>
      </c>
      <c r="C92" s="113" t="str">
        <f>IF(AND(ABS(Dec!F93)&gt;קריטריונים!$B$1,Dec!B93&gt;קריטריונים!$B$3),Dec!F93,"")</f>
        <v/>
      </c>
      <c r="D92" s="113" t="str">
        <f>IF(AND(ABS(Dec!E93)&gt;קריטריונים!$B$1,Dec!B93&gt;קריטריונים!$B$3),Dec!E93,"")</f>
        <v/>
      </c>
      <c r="E92" s="113" t="str">
        <f>IF(AND(ABS(Nov!K93)&gt;קריטריונים!$B$2,Nov!B93&gt;קריטריונים!$B$3),Nov!K93,"")</f>
        <v/>
      </c>
      <c r="F92" s="113" t="str">
        <f>IF(AND(ABS(Nov!J93)&gt;קריטריונים!$B$2,Nov!B93&gt;קריטריונים!$B$3),Nov!J93,"")</f>
        <v/>
      </c>
      <c r="G92" s="113" t="str">
        <f>IF(AND(ABS(Nov!F93)&gt;קריטריונים!$B$1,Nov!B93&gt;קריטריונים!$B$3),Nov!F93,"")</f>
        <v/>
      </c>
      <c r="H92" s="113" t="str">
        <f>IF(AND(ABS(Nov!E93)&gt;קריטריונים!$B$1,Nov!B93&gt;קריטריונים!$B$3),Nov!E93,"")</f>
        <v/>
      </c>
      <c r="I92" s="113" t="str">
        <f>IF(AND(ABS(Oct!K93)&gt;קריטריונים!$B$2,Oct!B93&gt;קריטריונים!$B$3),Oct!K93,"")</f>
        <v/>
      </c>
      <c r="J92" s="113" t="str">
        <f>IF(AND(ABS(Oct!J93)&gt;קריטריונים!$B$2,Oct!B93&gt;קריטריונים!$B$3),Oct!J93,"")</f>
        <v/>
      </c>
      <c r="K92" s="113" t="str">
        <f>IF(AND(ABS(Oct!F93)&gt;קריטריונים!$B$1,Oct!B93&gt;קריטריונים!$B$3),Oct!F93,"")</f>
        <v/>
      </c>
      <c r="L92" s="113" t="str">
        <f>IF(AND(ABS(Oct!E93)&gt;קריטריונים!$B$1,Oct!B93&gt;קריטריונים!$B$3),Oct!E93,"")</f>
        <v/>
      </c>
      <c r="M92" s="113" t="str">
        <f>IF(AND(ABS(Sep!K93)&gt;קריטריונים!$B$2,Sep!B93&gt;קריטריונים!$B$3),Sep!K93,"")</f>
        <v/>
      </c>
      <c r="N92" s="113" t="str">
        <f>IF(AND(ABS(Sep!J93)&gt;קריטריונים!$B$2,Sep!B93&gt;קריטריונים!$B$3),Sep!J93,"")</f>
        <v/>
      </c>
      <c r="O92" s="113" t="str">
        <f>IF(AND(ABS(Sep!F93)&gt;קריטריונים!$B$1,Sep!B93&gt;קריטריונים!$B$3),Sep!F93,"")</f>
        <v/>
      </c>
      <c r="P92" s="113" t="str">
        <f>IF(AND(ABS(Sep!E93)&gt;קריטריונים!$B$1,Sep!B93&gt;קריטריונים!$B$3),Sep!E93,"")</f>
        <v/>
      </c>
      <c r="Q92" s="113" t="str">
        <f>IF(AND(ABS(Aug!K93)&gt;קריטריונים!$B$2,Aug!B93&gt;קריטריונים!$B$3),Aug!K93,"")</f>
        <v/>
      </c>
      <c r="R92" s="113" t="str">
        <f>IF(AND(ABS(Aug!J93)&gt;קריטריונים!$B$2,Aug!B93&gt;קריטריונים!$B$3),Aug!J93,"")</f>
        <v/>
      </c>
      <c r="S92" s="113" t="str">
        <f>IF(AND(ABS(Aug!F93)&gt;קריטריונים!$B$1,Aug!B93&gt;קריטריונים!$B$3),Aug!F93,"")</f>
        <v/>
      </c>
      <c r="T92" s="113" t="str">
        <f>IF(AND(ABS(Aug!E93)&gt;קריטריונים!$B$1,Aug!B93&gt;קריטריונים!$B$3),Aug!E93,"")</f>
        <v/>
      </c>
      <c r="U92" s="113" t="str">
        <f>IF(AND(ABS(Jul!K93)&gt;קריטריונים!$B$2,Jul!B93&gt;קריטריונים!$B$3),Jul!K93,"")</f>
        <v/>
      </c>
      <c r="V92" s="113" t="str">
        <f>IF(AND(ABS(Jul!J93)&gt;קריטריונים!$B$2,Jul!B93&gt;קריטריונים!$B$3),Jul!J93,"")</f>
        <v/>
      </c>
      <c r="W92" s="113" t="str">
        <f>IF(AND(ABS(Jul!F93)&gt;קריטריונים!$B$1,Jul!B93&gt;קריטריונים!$B$3),Jul!F93,"")</f>
        <v/>
      </c>
      <c r="X92" s="113" t="str">
        <f>IF(AND(ABS(Jul!E93)&gt;קריטריונים!$B$1,Jul!B93&gt;קריטריונים!$B$3),Jul!E93,"")</f>
        <v/>
      </c>
      <c r="Y92" s="113" t="str">
        <f>IF(AND(ABS(Jun!K93)&gt;קריטריונים!$B$2,Jun!B93&gt;קריטריונים!$B$3),Jun!K93,"")</f>
        <v/>
      </c>
      <c r="Z92" s="113" t="str">
        <f>IF(AND(ABS(Jun!J93)&gt;קריטריונים!$B$2,Jun!B93&gt;קריטריונים!$B$3),Jun!J93,"")</f>
        <v/>
      </c>
      <c r="AA92" s="113" t="str">
        <f>IF(AND(ABS(Jun!F93)&gt;קריטריונים!$B$1,Jun!B93&gt;קריטריונים!$B$3),Jun!F93,"")</f>
        <v/>
      </c>
      <c r="AB92" s="113" t="str">
        <f>IF(AND(ABS(Jun!E93)&gt;קריטריונים!$B$1,Jun!B93&gt;קריטריונים!$B$3),Jun!E93,"")</f>
        <v/>
      </c>
      <c r="AC92" s="113" t="str">
        <f>IF(AND(ABS(May!K93)&gt;קריטריונים!$B$2,May!B93&gt;קריטריונים!$B$3),May!K93,"")</f>
        <v/>
      </c>
      <c r="AD92" s="113" t="str">
        <f>IF(AND(ABS(May!J93)&gt;קריטריונים!$B$2,May!B93&gt;קריטריונים!$B$3),May!J93,"")</f>
        <v/>
      </c>
      <c r="AE92" s="113" t="str">
        <f>IF(AND(ABS(May!F93)&gt;קריטריונים!$B$1,May!B93&gt;קריטריונים!$B$3),May!F93,"")</f>
        <v/>
      </c>
      <c r="AF92" s="113" t="str">
        <f>IF(AND(ABS(May!E93)&gt;קריטריונים!$B$1,May!B93&gt;קריטריונים!$B$3),May!E93,"")</f>
        <v/>
      </c>
      <c r="AG92" s="113" t="str">
        <f>IF(AND(ABS(Apr!K93)&gt;קריטריונים!$B$2,Apr!B93&gt;קריטריונים!$B$3),Apr!K93,"")</f>
        <v/>
      </c>
      <c r="AH92" s="113" t="str">
        <f>IF(AND(ABS(Apr!J93)&gt;קריטריונים!$B$2,Apr!B93&gt;קריטריונים!$B$3),Apr!J93,"")</f>
        <v/>
      </c>
      <c r="AI92" s="113" t="str">
        <f>IF(AND(ABS(Apr!F93)&gt;קריטריונים!$B$1,Apr!B93&gt;קריטריונים!$B$3),Apr!F93,"")</f>
        <v/>
      </c>
      <c r="AJ92" s="113" t="str">
        <f>IF(AND(ABS(Apr!E93)&gt;קריטריונים!$B$1,Apr!B93&gt;קריטריונים!$B$3),Apr!E93,"")</f>
        <v/>
      </c>
      <c r="AK92" s="113" t="str">
        <f>IF(AND(ABS(Mar!K93)&gt;קריטריונים!$B$2,Mar!B93&gt;קריטריונים!$B$3),Mar!K93,"")</f>
        <v/>
      </c>
      <c r="AL92" s="113" t="str">
        <f>IF(AND(ABS(Mar!J93)&gt;קריטריונים!$B$2,Mar!B93&gt;קריטריונים!$B$3),Mar!J93,"")</f>
        <v/>
      </c>
      <c r="AM92" s="113" t="str">
        <f>IF(AND(ABS(Mar!F93)&gt;קריטריונים!$B$1,Mar!B93&gt;קריטריונים!$B$3),Mar!F93,"")</f>
        <v/>
      </c>
      <c r="AN92" s="113" t="str">
        <f>IF(AND(ABS(Mar!E93)&gt;קריטריונים!$B$1,Mar!B93&gt;קריטריונים!$B$3),Mar!E93,"")</f>
        <v/>
      </c>
      <c r="AO92" s="113" t="str">
        <f>IF(AND(ABS(Feb!K93)&gt;קריטריונים!$B$2,Feb!B93&gt;קריטריונים!$B$3),Feb!K93,"")</f>
        <v/>
      </c>
      <c r="AP92" s="113" t="str">
        <f>IF(AND(ABS(Feb!J93)&gt;קריטריונים!$B$2,Feb!B93&gt;קריטריונים!$B$3),Feb!J93,"")</f>
        <v/>
      </c>
      <c r="AQ92" s="113" t="str">
        <f>IF(AND(ABS(Feb!F93)&gt;קריטריונים!$B$1,Feb!B93&gt;קריטריונים!$B$3),Feb!F93,"")</f>
        <v/>
      </c>
      <c r="AR92" s="113" t="str">
        <f>IF(AND(ABS(Feb!E93)&gt;קריטריונים!$B$1,Feb!B93&gt;קריטריונים!$B$3),Feb!E93,"")</f>
        <v/>
      </c>
      <c r="AS92" s="113" t="str">
        <f>IF(AND(ABS(Jan!F93)&gt;קריטריונים!$B$1,Jan!B93&gt;קריטריונים!$B$3),Jan!F93,"")</f>
        <v/>
      </c>
      <c r="AT92" s="103" t="str">
        <f>IF(AND(ABS(Jan!E93)&gt;קריטריונים!$B$1,Jan!B93&gt;קריטריונים!$B$3),Jan!E93,"")</f>
        <v/>
      </c>
      <c r="AU92" s="118" t="s">
        <v>78</v>
      </c>
      <c r="AV92" s="4"/>
    </row>
    <row r="93" spans="1:48">
      <c r="A93" s="112" t="str">
        <f>IF(AND(ABS(Dec!K94)&gt;קריטריונים!$B$2,Dec!B94&gt;קריטריונים!$B$3),Dec!K94,"")</f>
        <v/>
      </c>
      <c r="B93" s="113" t="str">
        <f>IF(AND(ABS(Dec!J94)&gt;קריטריונים!$B$2,Dec!B94&gt;קריטריונים!$B$3),Dec!J94,"")</f>
        <v/>
      </c>
      <c r="C93" s="113" t="str">
        <f>IF(AND(ABS(Dec!F94)&gt;קריטריונים!$B$1,Dec!B94&gt;קריטריונים!$B$3),Dec!F94,"")</f>
        <v/>
      </c>
      <c r="D93" s="113" t="str">
        <f>IF(AND(ABS(Dec!E94)&gt;קריטריונים!$B$1,Dec!B94&gt;קריטריונים!$B$3),Dec!E94,"")</f>
        <v/>
      </c>
      <c r="E93" s="113" t="str">
        <f>IF(AND(ABS(Nov!K94)&gt;קריטריונים!$B$2,Nov!B94&gt;קריטריונים!$B$3),Nov!K94,"")</f>
        <v/>
      </c>
      <c r="F93" s="113" t="str">
        <f>IF(AND(ABS(Nov!J94)&gt;קריטריונים!$B$2,Nov!B94&gt;קריטריונים!$B$3),Nov!J94,"")</f>
        <v/>
      </c>
      <c r="G93" s="113" t="str">
        <f>IF(AND(ABS(Nov!F94)&gt;קריטריונים!$B$1,Nov!B94&gt;קריטריונים!$B$3),Nov!F94,"")</f>
        <v/>
      </c>
      <c r="H93" s="113" t="str">
        <f>IF(AND(ABS(Nov!E94)&gt;קריטריונים!$B$1,Nov!B94&gt;קריטריונים!$B$3),Nov!E94,"")</f>
        <v/>
      </c>
      <c r="I93" s="113" t="str">
        <f>IF(AND(ABS(Oct!K94)&gt;קריטריונים!$B$2,Oct!B94&gt;קריטריונים!$B$3),Oct!K94,"")</f>
        <v/>
      </c>
      <c r="J93" s="113" t="str">
        <f>IF(AND(ABS(Oct!J94)&gt;קריטריונים!$B$2,Oct!B94&gt;קריטריונים!$B$3),Oct!J94,"")</f>
        <v/>
      </c>
      <c r="K93" s="113" t="str">
        <f>IF(AND(ABS(Oct!F94)&gt;קריטריונים!$B$1,Oct!B94&gt;קריטריונים!$B$3),Oct!F94,"")</f>
        <v/>
      </c>
      <c r="L93" s="113" t="str">
        <f>IF(AND(ABS(Oct!E94)&gt;קריטריונים!$B$1,Oct!B94&gt;קריטריונים!$B$3),Oct!E94,"")</f>
        <v/>
      </c>
      <c r="M93" s="113" t="str">
        <f>IF(AND(ABS(Sep!K94)&gt;קריטריונים!$B$2,Sep!B94&gt;קריטריונים!$B$3),Sep!K94,"")</f>
        <v/>
      </c>
      <c r="N93" s="113" t="str">
        <f>IF(AND(ABS(Sep!J94)&gt;קריטריונים!$B$2,Sep!B94&gt;קריטריונים!$B$3),Sep!J94,"")</f>
        <v/>
      </c>
      <c r="O93" s="113" t="str">
        <f>IF(AND(ABS(Sep!F94)&gt;קריטריונים!$B$1,Sep!B94&gt;קריטריונים!$B$3),Sep!F94,"")</f>
        <v/>
      </c>
      <c r="P93" s="113" t="str">
        <f>IF(AND(ABS(Sep!E94)&gt;קריטריונים!$B$1,Sep!B94&gt;קריטריונים!$B$3),Sep!E94,"")</f>
        <v/>
      </c>
      <c r="Q93" s="113" t="str">
        <f>IF(AND(ABS(Aug!K94)&gt;קריטריונים!$B$2,Aug!B94&gt;קריטריונים!$B$3),Aug!K94,"")</f>
        <v/>
      </c>
      <c r="R93" s="113" t="str">
        <f>IF(AND(ABS(Aug!J94)&gt;קריטריונים!$B$2,Aug!B94&gt;קריטריונים!$B$3),Aug!J94,"")</f>
        <v/>
      </c>
      <c r="S93" s="113" t="str">
        <f>IF(AND(ABS(Aug!F94)&gt;קריטריונים!$B$1,Aug!B94&gt;קריטריונים!$B$3),Aug!F94,"")</f>
        <v/>
      </c>
      <c r="T93" s="113" t="str">
        <f>IF(AND(ABS(Aug!E94)&gt;קריטריונים!$B$1,Aug!B94&gt;קריטריונים!$B$3),Aug!E94,"")</f>
        <v/>
      </c>
      <c r="U93" s="113" t="str">
        <f>IF(AND(ABS(Jul!K94)&gt;קריטריונים!$B$2,Jul!B94&gt;קריטריונים!$B$3),Jul!K94,"")</f>
        <v/>
      </c>
      <c r="V93" s="113" t="str">
        <f>IF(AND(ABS(Jul!J94)&gt;קריטריונים!$B$2,Jul!B94&gt;קריטריונים!$B$3),Jul!J94,"")</f>
        <v/>
      </c>
      <c r="W93" s="113" t="str">
        <f>IF(AND(ABS(Jul!F94)&gt;קריטריונים!$B$1,Jul!B94&gt;קריטריונים!$B$3),Jul!F94,"")</f>
        <v/>
      </c>
      <c r="X93" s="113" t="str">
        <f>IF(AND(ABS(Jul!E94)&gt;קריטריונים!$B$1,Jul!B94&gt;קריטריונים!$B$3),Jul!E94,"")</f>
        <v/>
      </c>
      <c r="Y93" s="113" t="str">
        <f>IF(AND(ABS(Jun!K94)&gt;קריטריונים!$B$2,Jun!B94&gt;קריטריונים!$B$3),Jun!K94,"")</f>
        <v/>
      </c>
      <c r="Z93" s="113" t="str">
        <f>IF(AND(ABS(Jun!J94)&gt;קריטריונים!$B$2,Jun!B94&gt;קריטריונים!$B$3),Jun!J94,"")</f>
        <v/>
      </c>
      <c r="AA93" s="113" t="str">
        <f>IF(AND(ABS(Jun!F94)&gt;קריטריונים!$B$1,Jun!B94&gt;קריטריונים!$B$3),Jun!F94,"")</f>
        <v/>
      </c>
      <c r="AB93" s="113" t="str">
        <f>IF(AND(ABS(Jun!E94)&gt;קריטריונים!$B$1,Jun!B94&gt;קריטריונים!$B$3),Jun!E94,"")</f>
        <v/>
      </c>
      <c r="AC93" s="113" t="str">
        <f>IF(AND(ABS(May!K94)&gt;קריטריונים!$B$2,May!B94&gt;קריטריונים!$B$3),May!K94,"")</f>
        <v/>
      </c>
      <c r="AD93" s="113" t="str">
        <f>IF(AND(ABS(May!J94)&gt;קריטריונים!$B$2,May!B94&gt;קריטריונים!$B$3),May!J94,"")</f>
        <v/>
      </c>
      <c r="AE93" s="113" t="str">
        <f>IF(AND(ABS(May!F94)&gt;קריטריונים!$B$1,May!B94&gt;קריטריונים!$B$3),May!F94,"")</f>
        <v/>
      </c>
      <c r="AF93" s="113" t="str">
        <f>IF(AND(ABS(May!E94)&gt;קריטריונים!$B$1,May!B94&gt;קריטריונים!$B$3),May!E94,"")</f>
        <v/>
      </c>
      <c r="AG93" s="113" t="str">
        <f>IF(AND(ABS(Apr!K94)&gt;קריטריונים!$B$2,Apr!B94&gt;קריטריונים!$B$3),Apr!K94,"")</f>
        <v/>
      </c>
      <c r="AH93" s="113" t="str">
        <f>IF(AND(ABS(Apr!J94)&gt;קריטריונים!$B$2,Apr!B94&gt;קריטריונים!$B$3),Apr!J94,"")</f>
        <v/>
      </c>
      <c r="AI93" s="113" t="str">
        <f>IF(AND(ABS(Apr!F94)&gt;קריטריונים!$B$1,Apr!B94&gt;קריטריונים!$B$3),Apr!F94,"")</f>
        <v/>
      </c>
      <c r="AJ93" s="113" t="str">
        <f>IF(AND(ABS(Apr!E94)&gt;קריטריונים!$B$1,Apr!B94&gt;קריטריונים!$B$3),Apr!E94,"")</f>
        <v/>
      </c>
      <c r="AK93" s="113" t="str">
        <f>IF(AND(ABS(Mar!K94)&gt;קריטריונים!$B$2,Mar!B94&gt;קריטריונים!$B$3),Mar!K94,"")</f>
        <v/>
      </c>
      <c r="AL93" s="113" t="str">
        <f>IF(AND(ABS(Mar!J94)&gt;קריטריונים!$B$2,Mar!B94&gt;קריטריונים!$B$3),Mar!J94,"")</f>
        <v/>
      </c>
      <c r="AM93" s="113" t="str">
        <f>IF(AND(ABS(Mar!F94)&gt;קריטריונים!$B$1,Mar!B94&gt;קריטריונים!$B$3),Mar!F94,"")</f>
        <v/>
      </c>
      <c r="AN93" s="113" t="str">
        <f>IF(AND(ABS(Mar!E94)&gt;קריטריונים!$B$1,Mar!B94&gt;קריטריונים!$B$3),Mar!E94,"")</f>
        <v/>
      </c>
      <c r="AO93" s="113" t="str">
        <f>IF(AND(ABS(Feb!K94)&gt;קריטריונים!$B$2,Feb!B94&gt;קריטריונים!$B$3),Feb!K94,"")</f>
        <v/>
      </c>
      <c r="AP93" s="113" t="str">
        <f>IF(AND(ABS(Feb!J94)&gt;קריטריונים!$B$2,Feb!B94&gt;קריטריונים!$B$3),Feb!J94,"")</f>
        <v/>
      </c>
      <c r="AQ93" s="113" t="str">
        <f>IF(AND(ABS(Feb!F94)&gt;קריטריונים!$B$1,Feb!B94&gt;קריטריונים!$B$3),Feb!F94,"")</f>
        <v/>
      </c>
      <c r="AR93" s="113" t="str">
        <f>IF(AND(ABS(Feb!E94)&gt;קריטריונים!$B$1,Feb!B94&gt;קריטריונים!$B$3),Feb!E94,"")</f>
        <v/>
      </c>
      <c r="AS93" s="113" t="str">
        <f>IF(AND(ABS(Jan!F94)&gt;קריטריונים!$B$1,Jan!B94&gt;קריטריונים!$B$3),Jan!F94,"")</f>
        <v/>
      </c>
      <c r="AT93" s="103" t="str">
        <f>IF(AND(ABS(Jan!E94)&gt;קריטריונים!$B$1,Jan!B94&gt;קריטריונים!$B$3),Jan!E94,"")</f>
        <v/>
      </c>
      <c r="AU93" s="118" t="s">
        <v>19</v>
      </c>
      <c r="AV93" s="4"/>
    </row>
    <row r="94" spans="1:48">
      <c r="A94" s="112" t="str">
        <f>IF(AND(ABS(Dec!K95)&gt;קריטריונים!$B$2,Dec!B95&gt;קריטריונים!$B$3),Dec!K95,"")</f>
        <v/>
      </c>
      <c r="B94" s="113" t="str">
        <f>IF(AND(ABS(Dec!J95)&gt;קריטריונים!$B$2,Dec!B95&gt;קריטריונים!$B$3),Dec!J95,"")</f>
        <v/>
      </c>
      <c r="C94" s="113" t="str">
        <f>IF(AND(ABS(Dec!F95)&gt;קריטריונים!$B$1,Dec!B95&gt;קריטריונים!$B$3),Dec!F95,"")</f>
        <v/>
      </c>
      <c r="D94" s="113" t="str">
        <f>IF(AND(ABS(Dec!E95)&gt;קריטריונים!$B$1,Dec!B95&gt;קריטריונים!$B$3),Dec!E95,"")</f>
        <v/>
      </c>
      <c r="E94" s="113" t="str">
        <f>IF(AND(ABS(Nov!K95)&gt;קריטריונים!$B$2,Nov!B95&gt;קריטריונים!$B$3),Nov!K95,"")</f>
        <v/>
      </c>
      <c r="F94" s="113" t="str">
        <f>IF(AND(ABS(Nov!J95)&gt;קריטריונים!$B$2,Nov!B95&gt;קריטריונים!$B$3),Nov!J95,"")</f>
        <v/>
      </c>
      <c r="G94" s="113" t="str">
        <f>IF(AND(ABS(Nov!F95)&gt;קריטריונים!$B$1,Nov!B95&gt;קריטריונים!$B$3),Nov!F95,"")</f>
        <v/>
      </c>
      <c r="H94" s="113" t="str">
        <f>IF(AND(ABS(Nov!E95)&gt;קריטריונים!$B$1,Nov!B95&gt;קריטריונים!$B$3),Nov!E95,"")</f>
        <v/>
      </c>
      <c r="I94" s="113" t="str">
        <f>IF(AND(ABS(Oct!K95)&gt;קריטריונים!$B$2,Oct!B95&gt;קריטריונים!$B$3),Oct!K95,"")</f>
        <v/>
      </c>
      <c r="J94" s="113" t="str">
        <f>IF(AND(ABS(Oct!J95)&gt;קריטריונים!$B$2,Oct!B95&gt;קריטריונים!$B$3),Oct!J95,"")</f>
        <v/>
      </c>
      <c r="K94" s="113" t="str">
        <f>IF(AND(ABS(Oct!F95)&gt;קריטריונים!$B$1,Oct!B95&gt;קריטריונים!$B$3),Oct!F95,"")</f>
        <v/>
      </c>
      <c r="L94" s="113" t="str">
        <f>IF(AND(ABS(Oct!E95)&gt;קריטריונים!$B$1,Oct!B95&gt;קריטריונים!$B$3),Oct!E95,"")</f>
        <v/>
      </c>
      <c r="M94" s="113" t="str">
        <f>IF(AND(ABS(Sep!K95)&gt;קריטריונים!$B$2,Sep!B95&gt;קריטריונים!$B$3),Sep!K95,"")</f>
        <v/>
      </c>
      <c r="N94" s="113" t="str">
        <f>IF(AND(ABS(Sep!J95)&gt;קריטריונים!$B$2,Sep!B95&gt;קריטריונים!$B$3),Sep!J95,"")</f>
        <v/>
      </c>
      <c r="O94" s="113" t="str">
        <f>IF(AND(ABS(Sep!F95)&gt;קריטריונים!$B$1,Sep!B95&gt;קריטריונים!$B$3),Sep!F95,"")</f>
        <v/>
      </c>
      <c r="P94" s="113" t="str">
        <f>IF(AND(ABS(Sep!E95)&gt;קריטריונים!$B$1,Sep!B95&gt;קריטריונים!$B$3),Sep!E95,"")</f>
        <v/>
      </c>
      <c r="Q94" s="113" t="str">
        <f>IF(AND(ABS(Aug!K95)&gt;קריטריונים!$B$2,Aug!B95&gt;קריטריונים!$B$3),Aug!K95,"")</f>
        <v/>
      </c>
      <c r="R94" s="113" t="str">
        <f>IF(AND(ABS(Aug!J95)&gt;קריטריונים!$B$2,Aug!B95&gt;קריטריונים!$B$3),Aug!J95,"")</f>
        <v/>
      </c>
      <c r="S94" s="113" t="str">
        <f>IF(AND(ABS(Aug!F95)&gt;קריטריונים!$B$1,Aug!B95&gt;קריטריונים!$B$3),Aug!F95,"")</f>
        <v/>
      </c>
      <c r="T94" s="113" t="str">
        <f>IF(AND(ABS(Aug!E95)&gt;קריטריונים!$B$1,Aug!B95&gt;קריטריונים!$B$3),Aug!E95,"")</f>
        <v/>
      </c>
      <c r="U94" s="113" t="str">
        <f>IF(AND(ABS(Jul!K95)&gt;קריטריונים!$B$2,Jul!B95&gt;קריטריונים!$B$3),Jul!K95,"")</f>
        <v/>
      </c>
      <c r="V94" s="113" t="str">
        <f>IF(AND(ABS(Jul!J95)&gt;קריטריונים!$B$2,Jul!B95&gt;קריטריונים!$B$3),Jul!J95,"")</f>
        <v/>
      </c>
      <c r="W94" s="113" t="str">
        <f>IF(AND(ABS(Jul!F95)&gt;קריטריונים!$B$1,Jul!B95&gt;קריטריונים!$B$3),Jul!F95,"")</f>
        <v/>
      </c>
      <c r="X94" s="113" t="str">
        <f>IF(AND(ABS(Jul!E95)&gt;קריטריונים!$B$1,Jul!B95&gt;קריטריונים!$B$3),Jul!E95,"")</f>
        <v/>
      </c>
      <c r="Y94" s="113" t="str">
        <f>IF(AND(ABS(Jun!K95)&gt;קריטריונים!$B$2,Jun!B95&gt;קריטריונים!$B$3),Jun!K95,"")</f>
        <v/>
      </c>
      <c r="Z94" s="113" t="str">
        <f>IF(AND(ABS(Jun!J95)&gt;קריטריונים!$B$2,Jun!B95&gt;קריטריונים!$B$3),Jun!J95,"")</f>
        <v/>
      </c>
      <c r="AA94" s="113" t="str">
        <f>IF(AND(ABS(Jun!F95)&gt;קריטריונים!$B$1,Jun!B95&gt;קריטריונים!$B$3),Jun!F95,"")</f>
        <v/>
      </c>
      <c r="AB94" s="113" t="str">
        <f>IF(AND(ABS(Jun!E95)&gt;קריטריונים!$B$1,Jun!B95&gt;קריטריונים!$B$3),Jun!E95,"")</f>
        <v/>
      </c>
      <c r="AC94" s="113" t="str">
        <f>IF(AND(ABS(May!K95)&gt;קריטריונים!$B$2,May!B95&gt;קריטריונים!$B$3),May!K95,"")</f>
        <v/>
      </c>
      <c r="AD94" s="113" t="str">
        <f>IF(AND(ABS(May!J95)&gt;קריטריונים!$B$2,May!B95&gt;קריטריונים!$B$3),May!J95,"")</f>
        <v/>
      </c>
      <c r="AE94" s="113" t="str">
        <f>IF(AND(ABS(May!F95)&gt;קריטריונים!$B$1,May!B95&gt;קריטריונים!$B$3),May!F95,"")</f>
        <v/>
      </c>
      <c r="AF94" s="113" t="str">
        <f>IF(AND(ABS(May!E95)&gt;קריטריונים!$B$1,May!B95&gt;קריטריונים!$B$3),May!E95,"")</f>
        <v/>
      </c>
      <c r="AG94" s="113" t="str">
        <f>IF(AND(ABS(Apr!K95)&gt;קריטריונים!$B$2,Apr!B95&gt;קריטריונים!$B$3),Apr!K95,"")</f>
        <v/>
      </c>
      <c r="AH94" s="113" t="str">
        <f>IF(AND(ABS(Apr!J95)&gt;קריטריונים!$B$2,Apr!B95&gt;קריטריונים!$B$3),Apr!J95,"")</f>
        <v/>
      </c>
      <c r="AI94" s="113" t="str">
        <f>IF(AND(ABS(Apr!F95)&gt;קריטריונים!$B$1,Apr!B95&gt;קריטריונים!$B$3),Apr!F95,"")</f>
        <v/>
      </c>
      <c r="AJ94" s="113" t="str">
        <f>IF(AND(ABS(Apr!E95)&gt;קריטריונים!$B$1,Apr!B95&gt;קריטריונים!$B$3),Apr!E95,"")</f>
        <v/>
      </c>
      <c r="AK94" s="113" t="str">
        <f>IF(AND(ABS(Mar!K95)&gt;קריטריונים!$B$2,Mar!B95&gt;קריטריונים!$B$3),Mar!K95,"")</f>
        <v/>
      </c>
      <c r="AL94" s="113" t="str">
        <f>IF(AND(ABS(Mar!J95)&gt;קריטריונים!$B$2,Mar!B95&gt;קריטריונים!$B$3),Mar!J95,"")</f>
        <v/>
      </c>
      <c r="AM94" s="113" t="str">
        <f>IF(AND(ABS(Mar!F95)&gt;קריטריונים!$B$1,Mar!B95&gt;קריטריונים!$B$3),Mar!F95,"")</f>
        <v/>
      </c>
      <c r="AN94" s="113" t="str">
        <f>IF(AND(ABS(Mar!E95)&gt;קריטריונים!$B$1,Mar!B95&gt;קריטריונים!$B$3),Mar!E95,"")</f>
        <v/>
      </c>
      <c r="AO94" s="113" t="str">
        <f>IF(AND(ABS(Feb!K95)&gt;קריטריונים!$B$2,Feb!B95&gt;קריטריונים!$B$3),Feb!K95,"")</f>
        <v/>
      </c>
      <c r="AP94" s="113" t="str">
        <f>IF(AND(ABS(Feb!J95)&gt;קריטריונים!$B$2,Feb!B95&gt;קריטריונים!$B$3),Feb!J95,"")</f>
        <v/>
      </c>
      <c r="AQ94" s="113" t="str">
        <f>IF(AND(ABS(Feb!F95)&gt;קריטריונים!$B$1,Feb!B95&gt;קריטריונים!$B$3),Feb!F95,"")</f>
        <v/>
      </c>
      <c r="AR94" s="113" t="str">
        <f>IF(AND(ABS(Feb!E95)&gt;קריטריונים!$B$1,Feb!B95&gt;קריטריונים!$B$3),Feb!E95,"")</f>
        <v/>
      </c>
      <c r="AS94" s="113" t="str">
        <f>IF(AND(ABS(Jan!F95)&gt;קריטריונים!$B$1,Jan!B95&gt;קריטריונים!$B$3),Jan!F95,"")</f>
        <v/>
      </c>
      <c r="AT94" s="103" t="str">
        <f>IF(AND(ABS(Jan!E95)&gt;קריטריונים!$B$1,Jan!B95&gt;קריטריונים!$B$3),Jan!E95,"")</f>
        <v/>
      </c>
      <c r="AU94" s="118"/>
      <c r="AV94" s="4"/>
    </row>
    <row r="95" spans="1:48" ht="15.75" thickBot="1">
      <c r="A95" s="114" t="str">
        <f>IF(AND(ABS(Dec!K96)&gt;קריטריונים!$B$2,Dec!B96&gt;קריטריונים!$B$3),Dec!K96,"")</f>
        <v/>
      </c>
      <c r="B95" s="115" t="str">
        <f>IF(AND(ABS(Dec!J96)&gt;קריטריונים!$B$2,Dec!B96&gt;קריטריונים!$B$3),Dec!J96,"")</f>
        <v/>
      </c>
      <c r="C95" s="115" t="str">
        <f>IF(AND(ABS(Dec!F96)&gt;קריטריונים!$B$1,Dec!B96&gt;קריטריונים!$B$3),Dec!F96,"")</f>
        <v/>
      </c>
      <c r="D95" s="115" t="str">
        <f>IF(AND(ABS(Dec!E96)&gt;קריטריונים!$B$1,Dec!B96&gt;קריטריונים!$B$3),Dec!E96,"")</f>
        <v/>
      </c>
      <c r="E95" s="115" t="str">
        <f>IF(AND(ABS(Nov!K96)&gt;קריטריונים!$B$2,Nov!B96&gt;קריטריונים!$B$3),Nov!K96,"")</f>
        <v/>
      </c>
      <c r="F95" s="115" t="str">
        <f>IF(AND(ABS(Nov!J96)&gt;קריטריונים!$B$2,Nov!B96&gt;קריטריונים!$B$3),Nov!J96,"")</f>
        <v/>
      </c>
      <c r="G95" s="115" t="str">
        <f>IF(AND(ABS(Nov!F96)&gt;קריטריונים!$B$1,Nov!B96&gt;קריטריונים!$B$3),Nov!F96,"")</f>
        <v/>
      </c>
      <c r="H95" s="115" t="str">
        <f>IF(AND(ABS(Nov!E96)&gt;קריטריונים!$B$1,Nov!B96&gt;קריטריונים!$B$3),Nov!E96,"")</f>
        <v/>
      </c>
      <c r="I95" s="115" t="str">
        <f>IF(AND(ABS(Oct!K96)&gt;קריטריונים!$B$2,Oct!B96&gt;קריטריונים!$B$3),Oct!K96,"")</f>
        <v/>
      </c>
      <c r="J95" s="115" t="str">
        <f>IF(AND(ABS(Oct!J96)&gt;קריטריונים!$B$2,Oct!B96&gt;קריטריונים!$B$3),Oct!J96,"")</f>
        <v/>
      </c>
      <c r="K95" s="115" t="str">
        <f>IF(AND(ABS(Oct!F96)&gt;קריטריונים!$B$1,Oct!B96&gt;קריטריונים!$B$3),Oct!F96,"")</f>
        <v/>
      </c>
      <c r="L95" s="115" t="str">
        <f>IF(AND(ABS(Oct!E96)&gt;קריטריונים!$B$1,Oct!B96&gt;קריטריונים!$B$3),Oct!E96,"")</f>
        <v/>
      </c>
      <c r="M95" s="115" t="str">
        <f>IF(AND(ABS(Sep!K96)&gt;קריטריונים!$B$2,Sep!B96&gt;קריטריונים!$B$3),Sep!K96,"")</f>
        <v/>
      </c>
      <c r="N95" s="115" t="str">
        <f>IF(AND(ABS(Sep!J96)&gt;קריטריונים!$B$2,Sep!B96&gt;קריטריונים!$B$3),Sep!J96,"")</f>
        <v/>
      </c>
      <c r="O95" s="115" t="str">
        <f>IF(AND(ABS(Sep!F96)&gt;קריטריונים!$B$1,Sep!B96&gt;קריטריונים!$B$3),Sep!F96,"")</f>
        <v/>
      </c>
      <c r="P95" s="115" t="str">
        <f>IF(AND(ABS(Sep!E96)&gt;קריטריונים!$B$1,Sep!B96&gt;קריטריונים!$B$3),Sep!E96,"")</f>
        <v/>
      </c>
      <c r="Q95" s="115" t="str">
        <f>IF(AND(ABS(Aug!K96)&gt;קריטריונים!$B$2,Aug!B96&gt;קריטריונים!$B$3),Aug!K96,"")</f>
        <v/>
      </c>
      <c r="R95" s="115" t="str">
        <f>IF(AND(ABS(Aug!J96)&gt;קריטריונים!$B$2,Aug!B96&gt;קריטריונים!$B$3),Aug!J96,"")</f>
        <v/>
      </c>
      <c r="S95" s="115" t="str">
        <f>IF(AND(ABS(Aug!F96)&gt;קריטריונים!$B$1,Aug!B96&gt;קריטריונים!$B$3),Aug!F96,"")</f>
        <v/>
      </c>
      <c r="T95" s="115" t="str">
        <f>IF(AND(ABS(Aug!E96)&gt;קריטריונים!$B$1,Aug!B96&gt;קריטריונים!$B$3),Aug!E96,"")</f>
        <v/>
      </c>
      <c r="U95" s="115" t="str">
        <f>IF(AND(ABS(Jul!K96)&gt;קריטריונים!$B$2,Jul!B96&gt;קריטריונים!$B$3),Jul!K96,"")</f>
        <v/>
      </c>
      <c r="V95" s="115" t="str">
        <f>IF(AND(ABS(Jul!J96)&gt;קריטריונים!$B$2,Jul!B96&gt;קריטריונים!$B$3),Jul!J96,"")</f>
        <v/>
      </c>
      <c r="W95" s="115" t="str">
        <f>IF(AND(ABS(Jul!F96)&gt;קריטריונים!$B$1,Jul!B96&gt;קריטריונים!$B$3),Jul!F96,"")</f>
        <v/>
      </c>
      <c r="X95" s="115" t="str">
        <f>IF(AND(ABS(Jul!E96)&gt;קריטריונים!$B$1,Jul!B96&gt;קריטריונים!$B$3),Jul!E96,"")</f>
        <v/>
      </c>
      <c r="Y95" s="115" t="str">
        <f>IF(AND(ABS(Jun!K96)&gt;קריטריונים!$B$2,Jun!B96&gt;קריטריונים!$B$3),Jun!K96,"")</f>
        <v/>
      </c>
      <c r="Z95" s="115" t="str">
        <f>IF(AND(ABS(Jun!J96)&gt;קריטריונים!$B$2,Jun!B96&gt;קריטריונים!$B$3),Jun!J96,"")</f>
        <v/>
      </c>
      <c r="AA95" s="115" t="str">
        <f>IF(AND(ABS(Jun!F96)&gt;קריטריונים!$B$1,Jun!B96&gt;קריטריונים!$B$3),Jun!F96,"")</f>
        <v/>
      </c>
      <c r="AB95" s="115" t="str">
        <f>IF(AND(ABS(Jun!E96)&gt;קריטריונים!$B$1,Jun!B96&gt;קריטריונים!$B$3),Jun!E96,"")</f>
        <v/>
      </c>
      <c r="AC95" s="115" t="str">
        <f>IF(AND(ABS(May!K96)&gt;קריטריונים!$B$2,May!B96&gt;קריטריונים!$B$3),May!K96,"")</f>
        <v/>
      </c>
      <c r="AD95" s="115" t="str">
        <f>IF(AND(ABS(May!J96)&gt;קריטריונים!$B$2,May!B96&gt;קריטריונים!$B$3),May!J96,"")</f>
        <v/>
      </c>
      <c r="AE95" s="115" t="str">
        <f>IF(AND(ABS(May!F96)&gt;קריטריונים!$B$1,May!B96&gt;קריטריונים!$B$3),May!F96,"")</f>
        <v/>
      </c>
      <c r="AF95" s="115" t="str">
        <f>IF(AND(ABS(May!E96)&gt;קריטריונים!$B$1,May!B96&gt;קריטריונים!$B$3),May!E96,"")</f>
        <v/>
      </c>
      <c r="AG95" s="115" t="str">
        <f>IF(AND(ABS(Apr!K96)&gt;קריטריונים!$B$2,Apr!B96&gt;קריטריונים!$B$3),Apr!K96,"")</f>
        <v/>
      </c>
      <c r="AH95" s="115" t="str">
        <f>IF(AND(ABS(Apr!J96)&gt;קריטריונים!$B$2,Apr!B96&gt;קריטריונים!$B$3),Apr!J96,"")</f>
        <v/>
      </c>
      <c r="AI95" s="115" t="str">
        <f>IF(AND(ABS(Apr!F96)&gt;קריטריונים!$B$1,Apr!B96&gt;קריטריונים!$B$3),Apr!F96,"")</f>
        <v/>
      </c>
      <c r="AJ95" s="115" t="str">
        <f>IF(AND(ABS(Apr!E96)&gt;קריטריונים!$B$1,Apr!B96&gt;קריטריונים!$B$3),Apr!E96,"")</f>
        <v/>
      </c>
      <c r="AK95" s="115" t="str">
        <f>IF(AND(ABS(Mar!K96)&gt;קריטריונים!$B$2,Mar!B96&gt;קריטריונים!$B$3),Mar!K96,"")</f>
        <v/>
      </c>
      <c r="AL95" s="115" t="str">
        <f>IF(AND(ABS(Mar!J96)&gt;קריטריונים!$B$2,Mar!B96&gt;קריטריונים!$B$3),Mar!J96,"")</f>
        <v/>
      </c>
      <c r="AM95" s="115" t="str">
        <f>IF(AND(ABS(Mar!F96)&gt;קריטריונים!$B$1,Mar!B96&gt;קריטריונים!$B$3),Mar!F96,"")</f>
        <v/>
      </c>
      <c r="AN95" s="115" t="str">
        <f>IF(AND(ABS(Mar!E96)&gt;קריטריונים!$B$1,Mar!B96&gt;קריטריונים!$B$3),Mar!E96,"")</f>
        <v/>
      </c>
      <c r="AO95" s="115" t="str">
        <f>IF(AND(ABS(Feb!K96)&gt;קריטריונים!$B$2,Feb!B96&gt;קריטריונים!$B$3),Feb!K96,"")</f>
        <v/>
      </c>
      <c r="AP95" s="115" t="str">
        <f>IF(AND(ABS(Feb!J96)&gt;קריטריונים!$B$2,Feb!B96&gt;קריטריונים!$B$3),Feb!J96,"")</f>
        <v/>
      </c>
      <c r="AQ95" s="115" t="str">
        <f>IF(AND(ABS(Feb!F96)&gt;קריטריונים!$B$1,Feb!B96&gt;קריטריונים!$B$3),Feb!F96,"")</f>
        <v/>
      </c>
      <c r="AR95" s="115" t="str">
        <f>IF(AND(ABS(Feb!E96)&gt;קריטריונים!$B$1,Feb!B96&gt;קריטריונים!$B$3),Feb!E96,"")</f>
        <v/>
      </c>
      <c r="AS95" s="115" t="str">
        <f>IF(AND(ABS(Jan!F96)&gt;קריטריונים!$B$1,Jan!B96&gt;קריטריונים!$B$3),Jan!F96,"")</f>
        <v/>
      </c>
      <c r="AT95" s="104" t="str">
        <f>IF(AND(ABS(Jan!E96)&gt;קריטריונים!$B$1,Jan!B96&gt;קריטריונים!$B$3),Jan!E96,"")</f>
        <v/>
      </c>
      <c r="AU95" s="120" t="s">
        <v>79</v>
      </c>
      <c r="AV95" s="4"/>
    </row>
    <row r="96" spans="1:48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107"/>
    </row>
    <row r="97" spans="1:46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107"/>
    </row>
    <row r="98" spans="1:46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107"/>
    </row>
  </sheetData>
  <mergeCells count="35">
    <mergeCell ref="A1:D1"/>
    <mergeCell ref="A2:B2"/>
    <mergeCell ref="C2:D2"/>
    <mergeCell ref="I1:L1"/>
    <mergeCell ref="I2:J2"/>
    <mergeCell ref="K2:L2"/>
    <mergeCell ref="E1:H1"/>
    <mergeCell ref="E2:F2"/>
    <mergeCell ref="G2:H2"/>
    <mergeCell ref="Q1:T1"/>
    <mergeCell ref="Q2:R2"/>
    <mergeCell ref="S2:T2"/>
    <mergeCell ref="M1:P1"/>
    <mergeCell ref="M2:N2"/>
    <mergeCell ref="O2:P2"/>
    <mergeCell ref="Y1:AB1"/>
    <mergeCell ref="Y2:Z2"/>
    <mergeCell ref="AA2:AB2"/>
    <mergeCell ref="U1:X1"/>
    <mergeCell ref="U2:V2"/>
    <mergeCell ref="W2:X2"/>
    <mergeCell ref="AG1:AJ1"/>
    <mergeCell ref="AG2:AH2"/>
    <mergeCell ref="AI2:AJ2"/>
    <mergeCell ref="AC1:AF1"/>
    <mergeCell ref="AC2:AD2"/>
    <mergeCell ref="AE2:AF2"/>
    <mergeCell ref="AK1:AN1"/>
    <mergeCell ref="AK2:AL2"/>
    <mergeCell ref="AM2:AN2"/>
    <mergeCell ref="AS1:AT1"/>
    <mergeCell ref="AS2:AT2"/>
    <mergeCell ref="AO1:AR1"/>
    <mergeCell ref="AO2:AP2"/>
    <mergeCell ref="AQ2:AR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V87"/>
  <sheetViews>
    <sheetView rightToLeft="1" topLeftCell="AN13" workbookViewId="0">
      <selection activeCell="AO39" sqref="AO39"/>
    </sheetView>
  </sheetViews>
  <sheetFormatPr defaultRowHeight="15"/>
  <cols>
    <col min="1" max="36" width="9" style="88"/>
    <col min="37" max="37" width="7.5703125" style="88" bestFit="1" customWidth="1"/>
    <col min="38" max="38" width="19.5703125" style="88" bestFit="1" customWidth="1"/>
    <col min="39" max="39" width="9" style="88"/>
    <col min="40" max="40" width="10.28515625" style="88" customWidth="1"/>
    <col min="41" max="41" width="8.28515625" style="88" customWidth="1"/>
    <col min="42" max="42" width="18.85546875" style="88" customWidth="1"/>
    <col min="43" max="43" width="9" style="88"/>
    <col min="44" max="44" width="12.28515625" style="88" customWidth="1"/>
  </cols>
  <sheetData>
    <row r="1" spans="1:44">
      <c r="A1" s="359" t="s">
        <v>116</v>
      </c>
      <c r="B1" s="360"/>
      <c r="C1" s="360"/>
      <c r="D1" s="360"/>
      <c r="E1" s="360"/>
      <c r="F1" s="360"/>
      <c r="G1" s="360"/>
      <c r="H1" s="361"/>
      <c r="I1" s="366" t="s">
        <v>115</v>
      </c>
      <c r="J1" s="360"/>
      <c r="K1" s="360"/>
      <c r="L1" s="360"/>
      <c r="M1" s="360"/>
      <c r="N1" s="360"/>
      <c r="O1" s="360"/>
      <c r="P1" s="361"/>
      <c r="Q1" s="366" t="s">
        <v>114</v>
      </c>
      <c r="R1" s="360"/>
      <c r="S1" s="360"/>
      <c r="T1" s="360"/>
      <c r="U1" s="360"/>
      <c r="V1" s="360"/>
      <c r="W1" s="360"/>
      <c r="X1" s="361"/>
      <c r="Y1" s="366" t="s">
        <v>113</v>
      </c>
      <c r="Z1" s="360"/>
      <c r="AA1" s="360"/>
      <c r="AB1" s="360"/>
      <c r="AC1" s="360"/>
      <c r="AD1" s="360"/>
      <c r="AE1" s="360"/>
      <c r="AF1" s="361"/>
      <c r="AG1" s="366" t="s">
        <v>112</v>
      </c>
      <c r="AH1" s="360"/>
      <c r="AI1" s="360"/>
      <c r="AJ1" s="360"/>
      <c r="AK1" s="360"/>
      <c r="AL1" s="360"/>
      <c r="AM1" s="360"/>
      <c r="AN1" s="361"/>
      <c r="AO1" s="368" t="s">
        <v>110</v>
      </c>
      <c r="AP1" s="368"/>
      <c r="AQ1" s="368"/>
      <c r="AR1" s="369"/>
    </row>
    <row r="2" spans="1:44">
      <c r="A2" s="362" t="s">
        <v>111</v>
      </c>
      <c r="B2" s="363"/>
      <c r="C2" s="363"/>
      <c r="D2" s="363"/>
      <c r="E2" s="363" t="s">
        <v>126</v>
      </c>
      <c r="F2" s="363"/>
      <c r="G2" s="363"/>
      <c r="H2" s="364"/>
      <c r="I2" s="367" t="s">
        <v>111</v>
      </c>
      <c r="J2" s="363"/>
      <c r="K2" s="363"/>
      <c r="L2" s="363"/>
      <c r="M2" s="363" t="s">
        <v>126</v>
      </c>
      <c r="N2" s="363"/>
      <c r="O2" s="363"/>
      <c r="P2" s="364"/>
      <c r="Q2" s="367" t="s">
        <v>111</v>
      </c>
      <c r="R2" s="363"/>
      <c r="S2" s="363"/>
      <c r="T2" s="363"/>
      <c r="U2" s="363" t="s">
        <v>126</v>
      </c>
      <c r="V2" s="363"/>
      <c r="W2" s="363"/>
      <c r="X2" s="364"/>
      <c r="Y2" s="367" t="s">
        <v>111</v>
      </c>
      <c r="Z2" s="363"/>
      <c r="AA2" s="363"/>
      <c r="AB2" s="363"/>
      <c r="AC2" s="363" t="s">
        <v>126</v>
      </c>
      <c r="AD2" s="363"/>
      <c r="AE2" s="363"/>
      <c r="AF2" s="364"/>
      <c r="AG2" s="371" t="s">
        <v>111</v>
      </c>
      <c r="AH2" s="371"/>
      <c r="AI2" s="371"/>
      <c r="AJ2" s="371"/>
      <c r="AK2" s="363" t="s">
        <v>126</v>
      </c>
      <c r="AL2" s="363"/>
      <c r="AM2" s="363"/>
      <c r="AN2" s="364"/>
      <c r="AO2" s="363" t="s">
        <v>126</v>
      </c>
      <c r="AP2" s="363"/>
      <c r="AQ2" s="363"/>
      <c r="AR2" s="372"/>
    </row>
    <row r="3" spans="1:44" ht="15.75" thickBot="1">
      <c r="A3" s="365" t="s">
        <v>83</v>
      </c>
      <c r="B3" s="358"/>
      <c r="C3" s="358" t="s">
        <v>82</v>
      </c>
      <c r="D3" s="358"/>
      <c r="E3" s="358" t="s">
        <v>83</v>
      </c>
      <c r="F3" s="358"/>
      <c r="G3" s="358" t="s">
        <v>82</v>
      </c>
      <c r="H3" s="358"/>
      <c r="I3" s="358" t="s">
        <v>83</v>
      </c>
      <c r="J3" s="358"/>
      <c r="K3" s="358" t="s">
        <v>82</v>
      </c>
      <c r="L3" s="358"/>
      <c r="M3" s="358" t="s">
        <v>83</v>
      </c>
      <c r="N3" s="358"/>
      <c r="O3" s="358" t="s">
        <v>82</v>
      </c>
      <c r="P3" s="358"/>
      <c r="Q3" s="358" t="s">
        <v>83</v>
      </c>
      <c r="R3" s="358"/>
      <c r="S3" s="358" t="s">
        <v>82</v>
      </c>
      <c r="T3" s="358"/>
      <c r="U3" s="358" t="s">
        <v>83</v>
      </c>
      <c r="V3" s="358"/>
      <c r="W3" s="358" t="s">
        <v>82</v>
      </c>
      <c r="X3" s="358"/>
      <c r="Y3" s="358" t="s">
        <v>83</v>
      </c>
      <c r="Z3" s="358"/>
      <c r="AA3" s="358" t="s">
        <v>82</v>
      </c>
      <c r="AB3" s="358"/>
      <c r="AC3" s="358" t="s">
        <v>83</v>
      </c>
      <c r="AD3" s="358"/>
      <c r="AE3" s="358" t="s">
        <v>82</v>
      </c>
      <c r="AF3" s="358"/>
      <c r="AG3" s="358" t="s">
        <v>83</v>
      </c>
      <c r="AH3" s="358"/>
      <c r="AI3" s="358" t="s">
        <v>82</v>
      </c>
      <c r="AJ3" s="358"/>
      <c r="AK3" s="358" t="s">
        <v>83</v>
      </c>
      <c r="AL3" s="358"/>
      <c r="AM3" s="358" t="s">
        <v>82</v>
      </c>
      <c r="AN3" s="358"/>
      <c r="AO3" s="358" t="s">
        <v>83</v>
      </c>
      <c r="AP3" s="358"/>
      <c r="AQ3" s="358" t="s">
        <v>82</v>
      </c>
      <c r="AR3" s="370"/>
    </row>
    <row r="4" spans="1:44">
      <c r="A4" s="88">
        <f>SMALL(תוצאות!$Y$4:$Y$95,1)</f>
        <v>-0.27996860013444202</v>
      </c>
      <c r="B4" s="88" t="str">
        <f>VLOOKUP(A4,תוצאות!$Y$4:$AU$95,23,FALSE)</f>
        <v>RUSSIA</v>
      </c>
      <c r="C4" s="88">
        <f>SMALL(תוצאות!$Z$4:$Z$95,1)</f>
        <v>2.000784621420193E-2</v>
      </c>
      <c r="D4" s="88" t="str">
        <f>VLOOKUP(C4,תוצאות!$Z$4:$AU$95,22,FALSE)</f>
        <v>JORDAN</v>
      </c>
      <c r="E4" s="88">
        <f>SMALL(תוצאות!$AA$4:$AA$95,1)</f>
        <v>-8.7497531108038706E-2</v>
      </c>
      <c r="F4" s="88" t="str">
        <f>VLOOKUP(E4,תוצאות!$AA$4:$AU$95,21,FALSE)</f>
        <v>RUSSIA</v>
      </c>
      <c r="G4" s="88">
        <f>SMALL(תוצאות!$AB$4:$AB$95,1)</f>
        <v>-5.374716124148371E-2</v>
      </c>
      <c r="H4" s="88" t="str">
        <f>VLOOKUP(G4,תוצאות!$AB$4:$AU$95,20,FALSE)</f>
        <v>BELGIUM</v>
      </c>
      <c r="I4" s="88">
        <f>SMALL(תוצאות!$AC$4:$AC$95,1)</f>
        <v>-1.4541929229276995E-3</v>
      </c>
      <c r="J4" s="88" t="str">
        <f>VLOOKUP(I4,תוצאות!$AC$4:$AU$95,19,FALSE)</f>
        <v xml:space="preserve">      SWEDEN</v>
      </c>
      <c r="K4" s="88">
        <f>SMALL(תוצאות!$AD$4:$AD$95,1)</f>
        <v>-4.0331993256386922E-2</v>
      </c>
      <c r="L4" s="88" t="str">
        <f>VLOOKUP(K4,תוצאות!$AD$4:$AU$95,18,FALSE)</f>
        <v>BELARUS</v>
      </c>
      <c r="M4" s="88">
        <f>SMALL(תוצאות!$AE$4:$AE$95,1)</f>
        <v>-0.23076923076923073</v>
      </c>
      <c r="N4" s="88" t="str">
        <f>VLOOKUP(M4,תוצאות!$AE$4:$AU$95,17,FALSE)</f>
        <v>OTHER</v>
      </c>
      <c r="O4" s="88">
        <f>SMALL(תוצאות!$AF$4:$AF$95,1)</f>
        <v>-9.5022624434389136E-2</v>
      </c>
      <c r="P4" s="88" t="str">
        <f>VLOOKUP(O4,תוצאות!$AF$4:$AU$95,16,FALSE)</f>
        <v>ASIA -OTHER</v>
      </c>
      <c r="Q4" s="88">
        <f>SMALL(תוצאות!$AG$4:$AG$95,1)</f>
        <v>-2.2222222222222365E-2</v>
      </c>
      <c r="R4" s="97" t="str">
        <f>VLOOKUP(Q4,תוצאות!$AG$4:$AU$95,15,FALSE)</f>
        <v xml:space="preserve">      DENMARK</v>
      </c>
      <c r="S4" s="88">
        <f>SMALL(תוצאות!$AH$4:$AH$95,1)</f>
        <v>-0.24914675767918093</v>
      </c>
      <c r="T4" s="88" t="str">
        <f>VLOOKUP(S4,תוצאות!$AH$4:$AU$95,14,FALSE)</f>
        <v>EGYPT</v>
      </c>
      <c r="U4" s="88">
        <f>SMALL(תוצאות!$AI$4:$AI$95,1)</f>
        <v>-0.18221313570150766</v>
      </c>
      <c r="V4" s="88" t="str">
        <f>VLOOKUP(U4,תוצאות!$AI$4:$AU$95,13,FALSE)</f>
        <v>BRAZIL</v>
      </c>
      <c r="W4" s="88">
        <f>SMALL(תוצאות!$AJ$4:$AJ$95,1)</f>
        <v>-0.24500370096225021</v>
      </c>
      <c r="X4" s="88" t="str">
        <f>VLOOKUP(W4,תוצאות!$AJ$4:$AU$95,12,FALSE)</f>
        <v>EGYPT</v>
      </c>
      <c r="Y4" s="88">
        <f>SMALL(תוצאות!$AK$4:$AK$95,1)</f>
        <v>-8.0919080919081177E-2</v>
      </c>
      <c r="Z4" s="88" t="str">
        <f>VLOOKUP(Y4,תוצאות!$AK$4:$AU$95,11,FALSE)</f>
        <v xml:space="preserve">      DENMARK</v>
      </c>
      <c r="AA4" s="88">
        <f>SMALL(תוצאות!$AL$4:$AL$95,1)</f>
        <v>-0.21192393352749705</v>
      </c>
      <c r="AB4" s="88" t="str">
        <f>VLOOKUP(AA4,תוצאות!$AL$4:$AU$95,10,FALSE)</f>
        <v xml:space="preserve">      DENMARK</v>
      </c>
      <c r="AC4" s="88">
        <f>SMALL(תוצאות!$AM$4:$AM$95,1)</f>
        <v>-0.27948426241941604</v>
      </c>
      <c r="AD4" s="88" t="str">
        <f>VLOOKUP(AC4,תוצאות!$AM$4:$AU$95,9,FALSE)</f>
        <v xml:space="preserve">      DENMARK</v>
      </c>
      <c r="AE4" s="88">
        <f>SMALL(תוצאות!$AN$4:$AN$95,1)</f>
        <v>-0.33797909407665516</v>
      </c>
      <c r="AF4" s="88" t="str">
        <f>VLOOKUP(AE4,תוצאות!$AN$4:$AU$95,8,FALSE)</f>
        <v xml:space="preserve">      DENMARK</v>
      </c>
      <c r="AG4" s="88">
        <f>SMALL(תוצאות!$AO$4:$AO$95,1)</f>
        <v>1.7153477157997754E-2</v>
      </c>
      <c r="AH4" s="88" t="str">
        <f>VLOOKUP(AG4,תוצאות!$AO$4:$AU$95,7,FALSE)</f>
        <v>RUSSIA</v>
      </c>
      <c r="AI4" s="88">
        <f>SMALL(תוצאות!$AP$4:$AP$95,1)</f>
        <v>-8.9989888776541904E-2</v>
      </c>
      <c r="AJ4" s="88" t="str">
        <f>VLOOKUP(AI4,תוצאות!$AP$4:$AU$95,6,FALSE)</f>
        <v xml:space="preserve">      DENMARK</v>
      </c>
      <c r="AK4" s="92">
        <f>SMALL(תוצאות!$AQ$4:$AQ$95,1)</f>
        <v>-8.7127339958400718E-2</v>
      </c>
      <c r="AL4" s="100" t="str">
        <f>VLOOKUP(AK4,תוצאות!$AQ$4:$AU$95,5,FALSE)</f>
        <v>POLAND</v>
      </c>
      <c r="AM4" s="99">
        <f>SMALL(תוצאות!$AR$4:$AR$95,1)</f>
        <v>-6.9767441860465018E-2</v>
      </c>
      <c r="AN4" s="92" t="str">
        <f>VLOOKUP(AM4,תוצאות!$AR$4:$AU$95,4,FALSE)</f>
        <v xml:space="preserve">      DENMARK</v>
      </c>
      <c r="AO4" s="99">
        <f>SMALL(תוצאות!$AS$4:$AS$95,1)</f>
        <v>-0.1435063800034958</v>
      </c>
      <c r="AP4" s="92" t="str">
        <f>VLOOKUP(AO4,תוצאות!$AS$4:$AU$95,3,FALSE)</f>
        <v>RUSSIA</v>
      </c>
      <c r="AQ4" s="99">
        <f>SMALL(תוצאות!$AT$4:$AT$95,1)</f>
        <v>5.0304035378662126E-2</v>
      </c>
      <c r="AR4" s="92" t="str">
        <f>VLOOKUP(AQ4,תוצאות!$AT$4:$AU$95,2,FALSE)</f>
        <v>NORDIC COUNTRIES</v>
      </c>
    </row>
    <row r="5" spans="1:44">
      <c r="A5" s="88">
        <f>SMALL(תוצאות!$Y$4:$Y$95,2)</f>
        <v>-0.18350935332514018</v>
      </c>
      <c r="B5" s="88" t="str">
        <f>VLOOKUP(A5,תוצאות!$Y$4:$AU$95,23,FALSE)</f>
        <v>TOTAL CIS</v>
      </c>
      <c r="C5" s="88">
        <f>SMALL(תוצאות!$Z$4:$Z$95,2)</f>
        <v>3.3402922755741082E-2</v>
      </c>
      <c r="D5" s="88" t="str">
        <f>VLOOKUP(C5,תוצאות!$Z$4:$AU$95,22,FALSE)</f>
        <v>BELARUS</v>
      </c>
      <c r="E5" s="88">
        <f>SMALL(תוצאות!$AA$4:$AA$95,2)</f>
        <v>-2.6479750778816258E-2</v>
      </c>
      <c r="F5" s="88" t="str">
        <f>VLOOKUP(E5,תוצאות!$AA$4:$AU$95,21,FALSE)</f>
        <v>BELGIUM</v>
      </c>
      <c r="G5" s="88">
        <f>SMALL(תוצאות!$AB$4:$AB$95,2)</f>
        <v>4.5150501672240884E-2</v>
      </c>
      <c r="H5" s="88" t="str">
        <f>VLOOKUP(G5,תוצאות!$AB$4:$AU$95,20,FALSE)</f>
        <v>KOREA</v>
      </c>
      <c r="I5" s="88">
        <f>SMALL(תוצאות!$AC$4:$AC$95,2)</f>
        <v>4.821671758253876E-3</v>
      </c>
      <c r="J5" s="88" t="str">
        <f>VLOOKUP(I5,תוצאות!$AC$4:$AU$95,19,FALSE)</f>
        <v>RUSSIA</v>
      </c>
      <c r="K5" s="88">
        <f>SMALL(תוצאות!$AD$4:$AD$95,2)</f>
        <v>5.5694408176968579E-2</v>
      </c>
      <c r="L5" s="88" t="str">
        <f>VLOOKUP(K5,תוצאות!$AD$4:$AU$95,18,FALSE)</f>
        <v>AFRICA</v>
      </c>
      <c r="M5" s="88">
        <f>SMALL(תוצאות!$AE$4:$AE$95,2)</f>
        <v>-0.12335629304946782</v>
      </c>
      <c r="N5" s="88" t="str">
        <f>VLOOKUP(M5,תוצאות!$AE$4:$AU$95,17,FALSE)</f>
        <v>NORDIC COUNTRIES</v>
      </c>
      <c r="O5" s="88">
        <f>SMALL(תוצאות!$AF$4:$AF$95,2)</f>
        <v>-5.7920446615491894E-2</v>
      </c>
      <c r="P5" s="88" t="str">
        <f>VLOOKUP(O5,תוצאות!$AF$4:$AU$95,16,FALSE)</f>
        <v>TURKEY</v>
      </c>
      <c r="Q5" s="88">
        <f>SMALL(תוצאות!$AG$4:$AG$95,2)</f>
        <v>-9.9725393843042021E-3</v>
      </c>
      <c r="R5" s="97" t="str">
        <f>VLOOKUP(Q5,תוצאות!$AG$4:$AU$95,15,FALSE)</f>
        <v>BRAZIL</v>
      </c>
      <c r="S5" s="88">
        <f>SMALL(תוצאות!$AH$4:$AH$95,2)</f>
        <v>-0.11585927426782083</v>
      </c>
      <c r="T5" s="88" t="str">
        <f>VLOOKUP(S5,תוצאות!$AH$4:$AU$95,14,FALSE)</f>
        <v>BELARUS</v>
      </c>
      <c r="U5" s="88">
        <f>SMALL(תוצאות!$AI$4:$AI$95,2)</f>
        <v>-0.12980420594633779</v>
      </c>
      <c r="V5" s="88" t="str">
        <f>VLOOKUP(U5,תוצאות!$AI$4:$AU$95,13,FALSE)</f>
        <v>POLAND</v>
      </c>
      <c r="W5" s="88">
        <f>SMALL(תוצאות!$AJ$4:$AJ$95,2)</f>
        <v>-6.2988027069234787E-2</v>
      </c>
      <c r="X5" s="88" t="str">
        <f>VLOOKUP(W5,תוצאות!$AJ$4:$AU$95,12,FALSE)</f>
        <v>OTHER</v>
      </c>
      <c r="Y5" s="88">
        <f>SMALL(תוצאות!$AK$4:$AK$95,2)</f>
        <v>-3.1339031339031376E-2</v>
      </c>
      <c r="Z5" s="88" t="str">
        <f>VLOOKUP(Y5,תוצאות!$AK$4:$AU$95,11,FALSE)</f>
        <v>AFRICA</v>
      </c>
      <c r="AA5" s="88">
        <f>SMALL(תוצאות!$AL$4:$AL$95,2)</f>
        <v>-6.3046791217474807E-2</v>
      </c>
      <c r="AB5" s="88" t="str">
        <f>VLOOKUP(AA5,תוצאות!$AL$4:$AU$95,10,FALSE)</f>
        <v>NORDIC COUNTRIES</v>
      </c>
      <c r="AC5" s="88">
        <f>SMALL(תוצאות!$AM$4:$AM$95,2)</f>
        <v>-0.22805839906024505</v>
      </c>
      <c r="AD5" s="88" t="str">
        <f>VLOOKUP(AC5,תוצאות!$AM$4:$AU$95,9,FALSE)</f>
        <v>AFRICA</v>
      </c>
      <c r="AE5" s="88">
        <f>SMALL(תוצאות!$AN$4:$AN$95,2)</f>
        <v>-0.1910112359550562</v>
      </c>
      <c r="AF5" s="88" t="str">
        <f>VLOOKUP(AE5,תוצאות!$AN$4:$AU$95,8,FALSE)</f>
        <v>NORDIC COUNTRIES</v>
      </c>
      <c r="AG5" s="88">
        <f>SMALL(תוצאות!$AO$4:$AO$95,2)</f>
        <v>3.3197831978319714E-2</v>
      </c>
      <c r="AH5" s="88" t="str">
        <f>VLOOKUP(AG5,תוצאות!$AO$4:$AU$95,7,FALSE)</f>
        <v>ITALY</v>
      </c>
      <c r="AI5" s="88">
        <f>SMALL(תוצאות!$AP$4:$AP$95,2)</f>
        <v>4.0367474827366134E-2</v>
      </c>
      <c r="AJ5" s="88" t="str">
        <f>VLOOKUP(AI5,תוצאות!$AP$4:$AU$95,6,FALSE)</f>
        <v>FRANCE</v>
      </c>
      <c r="AK5" s="92">
        <f>SMALL(תוצאות!$AQ$4:$AQ$95,2)</f>
        <v>1.114612237219581E-2</v>
      </c>
      <c r="AL5" s="100" t="str">
        <f>VLOOKUP(AK5,תוצאות!$AQ$4:$AU$95,5,FALSE)</f>
        <v>FRANCE</v>
      </c>
      <c r="AM5" s="99">
        <f>SMALL(תוצאות!$AR$4:$AR$95,2)</f>
        <v>1.678883896902339E-2</v>
      </c>
      <c r="AN5" s="92" t="str">
        <f>VLOOKUP(AM5,תוצאות!$AR$4:$AU$95,4,FALSE)</f>
        <v>FRANCE</v>
      </c>
      <c r="AO5" s="99">
        <f>SMALL(תוצאות!$AS$4:$AS$95,2)</f>
        <v>-3.0112691668206182E-2</v>
      </c>
      <c r="AP5" s="92" t="str">
        <f>VLOOKUP(AO5,תוצאות!$AS$4:$AU$95,3,FALSE)</f>
        <v>TOTAL CIS</v>
      </c>
      <c r="AQ5" s="99">
        <f>SMALL(תוצאות!$AT$4:$AT$95,2)</f>
        <v>6.8883610451306421E-2</v>
      </c>
      <c r="AR5" s="92" t="str">
        <f>VLOOKUP(AQ5,תוצאות!$AT$4:$AU$95,2,FALSE)</f>
        <v>BELGIUM</v>
      </c>
    </row>
    <row r="6" spans="1:44">
      <c r="A6" s="88">
        <f>SMALL(תוצאות!$Y$4:$Y$95,3)</f>
        <v>-0.18273260687342829</v>
      </c>
      <c r="B6" s="88" t="str">
        <f>VLOOKUP(A6,תוצאות!$Y$4:$AU$95,23,FALSE)</f>
        <v>JORDAN</v>
      </c>
      <c r="C6" s="88">
        <f>SMALL(תוצאות!$Z$4:$Z$95,3)</f>
        <v>7.3834032278561335E-2</v>
      </c>
      <c r="D6" s="88" t="str">
        <f>VLOOKUP(C6,תוצאות!$Z$4:$AU$95,22,FALSE)</f>
        <v>AFRICA</v>
      </c>
      <c r="E6" s="88">
        <f>SMALL(תוצאות!$AA$4:$AA$95,3)</f>
        <v>3.7037037037037202E-2</v>
      </c>
      <c r="F6" s="88" t="str">
        <f>VLOOKUP(E6,תוצאות!$AA$4:$AU$95,21,FALSE)</f>
        <v>JORDAN</v>
      </c>
      <c r="G6" s="88">
        <f>SMALL(תוצאות!$AB$4:$AB$95,3)</f>
        <v>4.9317943336831149E-2</v>
      </c>
      <c r="H6" s="88" t="str">
        <f>VLOOKUP(G6,תוצאות!$AB$4:$AU$95,20,FALSE)</f>
        <v>TURKEY</v>
      </c>
      <c r="I6" s="88">
        <f>SMALL(תוצאות!$AC$4:$AC$95,3)</f>
        <v>2.9852253222495184E-2</v>
      </c>
      <c r="J6" s="88" t="str">
        <f>VLOOKUP(I6,תוצאות!$AC$4:$AU$95,19,FALSE)</f>
        <v>NORDIC COUNTRIES</v>
      </c>
      <c r="K6" s="88">
        <f>SMALL(תוצאות!$AD$4:$AD$95,3)</f>
        <v>7.026686719597075E-2</v>
      </c>
      <c r="L6" s="88" t="str">
        <f>VLOOKUP(K6,תוצאות!$AD$4:$AU$95,18,FALSE)</f>
        <v>NORDIC COUNTRIES</v>
      </c>
      <c r="M6" s="88">
        <f>SMALL(תוצאות!$AE$4:$AE$95,3)</f>
        <v>-1.1124845488257207E-2</v>
      </c>
      <c r="N6" s="88" t="str">
        <f>VLOOKUP(M6,תוצאות!$AE$4:$AU$95,17,FALSE)</f>
        <v xml:space="preserve">      SWEDEN</v>
      </c>
      <c r="O6" s="88">
        <f>SMALL(תוצאות!$AF$4:$AF$95,3)</f>
        <v>-4.3491256912270293E-2</v>
      </c>
      <c r="P6" s="88" t="str">
        <f>VLOOKUP(O6,תוצאות!$AF$4:$AU$95,16,FALSE)</f>
        <v>UNITED KINGDOM</v>
      </c>
      <c r="Q6" s="88">
        <f>SMALL(תוצאות!$AG$4:$AG$95,3)</f>
        <v>-7.5614366729678251E-3</v>
      </c>
      <c r="R6" s="97" t="str">
        <f>VLOOKUP(Q6,תוצאות!$AG$4:$AU$95,15,FALSE)</f>
        <v>OTHER</v>
      </c>
      <c r="S6" s="88">
        <f>SMALL(תוצאות!$AH$4:$AH$95,3)</f>
        <v>-9.3904448105436633E-2</v>
      </c>
      <c r="T6" s="88" t="str">
        <f>VLOOKUP(S6,תוצאות!$AH$4:$AU$95,14,FALSE)</f>
        <v xml:space="preserve">      DENMARK</v>
      </c>
      <c r="U6" s="88">
        <f>SMALL(תוצאות!$AI$4:$AI$95,3)</f>
        <v>-4.3062200956937691E-2</v>
      </c>
      <c r="V6" s="98" t="str">
        <f>VLOOKUP(U6,תוצאות!$AI$4:$AU$95,13,FALSE)</f>
        <v xml:space="preserve">      SWEDEN</v>
      </c>
      <c r="W6" s="88">
        <f>SMALL(תוצאות!$AJ$4:$AJ$95,3)</f>
        <v>1.9044437019712701E-2</v>
      </c>
      <c r="X6" s="88" t="str">
        <f>VLOOKUP(W6,תוצאות!$AJ$4:$AU$95,12,FALSE)</f>
        <v>AFRICA</v>
      </c>
      <c r="Y6" s="88">
        <f>SMALL(תוצאות!$AK$4:$AK$95,3)</f>
        <v>2.2524547841095366E-2</v>
      </c>
      <c r="Z6" s="98" t="str">
        <f>VLOOKUP(Y6,תוצאות!$AK$4:$AU$95,11,FALSE)</f>
        <v>RUSSIA</v>
      </c>
      <c r="AA6" s="88">
        <f>SMALL(תוצאות!$AL$4:$AL$95,3)</f>
        <v>-2.3643151143869168E-2</v>
      </c>
      <c r="AB6" s="88" t="str">
        <f>VLOOKUP(AA6,תוצאות!$AL$4:$AU$95,10,FALSE)</f>
        <v>AFRICA</v>
      </c>
      <c r="AC6" s="88">
        <f>SMALL(תוצאות!$AM$4:$AM$95,3)</f>
        <v>-9.5136357923840564E-2</v>
      </c>
      <c r="AD6" s="88" t="str">
        <f>VLOOKUP(AC6,תוצאות!$AM$4:$AU$95,9,FALSE)</f>
        <v>NORDIC COUNTRIES</v>
      </c>
      <c r="AE6" s="88">
        <f>SMALL(תוצאות!$AN$4:$AN$95,3)</f>
        <v>-0.14670167377748611</v>
      </c>
      <c r="AF6" s="88" t="str">
        <f>VLOOKUP(AE6,תוצאות!$AN$4:$AU$95,8,FALSE)</f>
        <v>BELGIUM</v>
      </c>
      <c r="AG6" s="88">
        <f>SMALL(תוצאות!$AO$4:$AO$95,3)</f>
        <v>6.3929071395240289E-2</v>
      </c>
      <c r="AH6" s="88" t="str">
        <f>VLOOKUP(AG6,תוצאות!$AO$4:$AU$95,7,FALSE)</f>
        <v>FRANCE</v>
      </c>
      <c r="AI6" s="88">
        <f>SMALL(תוצאות!$AP$4:$AP$95,3)</f>
        <v>6.6122263808551462E-2</v>
      </c>
      <c r="AJ6" s="88" t="str">
        <f>VLOOKUP(AI6,תוצאות!$AP$4:$AU$95,6,FALSE)</f>
        <v>NORDIC COUNTRIES</v>
      </c>
      <c r="AK6" s="92">
        <f>SMALL(תוצאות!$AQ$4:$AQ$95,3)</f>
        <v>2.3108131945669408E-2</v>
      </c>
      <c r="AL6" s="100" t="str">
        <f>VLOOKUP(AK6,תוצאות!$AQ$4:$AU$95,5,FALSE)</f>
        <v>ITALY</v>
      </c>
      <c r="AM6" s="99">
        <f>SMALL(תוצאות!$AR$4:$AR$95,3)</f>
        <v>1.7516743946419444E-2</v>
      </c>
      <c r="AN6" s="92" t="str">
        <f>VLOOKUP(AM6,תוצאות!$AR$4:$AU$95,4,FALSE)</f>
        <v>POLAND</v>
      </c>
      <c r="AO6" s="99">
        <f>SMALL(תוצאות!$AS$4:$AS$95,3)</f>
        <v>3.5502958579881616E-2</v>
      </c>
      <c r="AP6" s="92" t="str">
        <f>VLOOKUP(AO6,תוצאות!$AS$4:$AU$95,3,FALSE)</f>
        <v>BRAZIL</v>
      </c>
      <c r="AQ6" s="99">
        <f>SMALL(תוצאות!$AT$4:$AT$95,3)</f>
        <v>7.2066706372841072E-2</v>
      </c>
      <c r="AR6" s="92" t="str">
        <f>VLOOKUP(AQ6,תוצאות!$AT$4:$AU$95,2,FALSE)</f>
        <v>INDIA</v>
      </c>
    </row>
    <row r="7" spans="1:44">
      <c r="A7" s="88">
        <f>SMALL(תוצאות!$Y$4:$Y$95,4)</f>
        <v>-0.11115101454480159</v>
      </c>
      <c r="B7" s="88" t="str">
        <f>VLOOKUP(A7,תוצאות!$Y$4:$AU$95,23,FALSE)</f>
        <v>BELARUS</v>
      </c>
      <c r="C7" s="88">
        <f>SMALL(תוצאות!$Z$4:$Z$95,4)</f>
        <v>8.4531482399603508E-2</v>
      </c>
      <c r="D7" s="88" t="str">
        <f>VLOOKUP(C7,תוצאות!$Z$4:$AU$95,22,FALSE)</f>
        <v>BELGIUM</v>
      </c>
      <c r="E7" s="88">
        <f>SMALL(תוצאות!$AA$4:$AA$95,4)</f>
        <v>4.5793059736967345E-2</v>
      </c>
      <c r="F7" s="88" t="str">
        <f>VLOOKUP(E7,תוצאות!$AA$4:$AU$95,21,FALSE)</f>
        <v>ASIA -OTHER</v>
      </c>
      <c r="G7" s="88">
        <f>SMALL(תוצאות!$AB$4:$AB$95,4)</f>
        <v>5.2328095718610301E-2</v>
      </c>
      <c r="H7" s="88" t="str">
        <f>VLOOKUP(G7,תוצאות!$AB$4:$AU$95,20,FALSE)</f>
        <v>FRANCE</v>
      </c>
      <c r="I7" s="88">
        <f>SMALL(תוצאות!$AC$4:$AC$95,4)</f>
        <v>4.5703389309220688E-2</v>
      </c>
      <c r="J7" s="88" t="str">
        <f>VLOOKUP(I7,תוצאות!$AC$4:$AU$95,19,FALSE)</f>
        <v>FRANCE</v>
      </c>
      <c r="K7" s="88">
        <f>SMALL(תוצאות!$AD$4:$AD$95,4)</f>
        <v>9.5249928670697814E-2</v>
      </c>
      <c r="L7" s="88" t="str">
        <f>VLOOKUP(K7,תוצאות!$AD$4:$AU$95,18,FALSE)</f>
        <v>FRANCE</v>
      </c>
      <c r="M7" s="88">
        <f>SMALL(תוצאות!$AE$4:$AE$95,4)</f>
        <v>-9.4240207147804345E-3</v>
      </c>
      <c r="N7" s="88" t="str">
        <f>VLOOKUP(M7,תוצאות!$AE$4:$AU$95,17,FALSE)</f>
        <v>RUSSIA</v>
      </c>
      <c r="O7" s="88">
        <f>SMALL(תוצאות!$AF$4:$AF$95,4)</f>
        <v>-3.0067895247332665E-2</v>
      </c>
      <c r="P7" s="88" t="str">
        <f>VLOOKUP(O7,תוצאות!$AF$4:$AU$95,16,FALSE)</f>
        <v>ARGENTINA</v>
      </c>
      <c r="Q7" s="88">
        <f>SMALL(תוצאות!$AG$4:$AG$95,4)</f>
        <v>1.5212981744423537E-3</v>
      </c>
      <c r="R7" s="97" t="str">
        <f>VLOOKUP(Q7,תוצאות!$AG$4:$AU$95,15,FALSE)</f>
        <v xml:space="preserve">      SWEDEN</v>
      </c>
      <c r="S7" s="88">
        <f>SMALL(תוצאות!$AH$4:$AH$95,4)</f>
        <v>-8.4749542798523425E-4</v>
      </c>
      <c r="T7" s="88" t="str">
        <f>VLOOKUP(S7,תוצאות!$AH$4:$AU$95,14,FALSE)</f>
        <v>AFRICA</v>
      </c>
      <c r="U7" s="88">
        <f>SMALL(תוצאות!$AI$4:$AI$95,4)</f>
        <v>-1.7366780466082865E-2</v>
      </c>
      <c r="V7" s="88" t="str">
        <f>VLOOKUP(U7,תוצאות!$AI$4:$AU$95,13,FALSE)</f>
        <v>RUSSIA</v>
      </c>
      <c r="W7" s="88">
        <f>SMALL(תוצאות!$AJ$4:$AJ$95,4)</f>
        <v>8.5018749615786593E-2</v>
      </c>
      <c r="X7" s="88" t="str">
        <f>VLOOKUP(W7,תוצאות!$AJ$4:$AU$95,12,FALSE)</f>
        <v>FRANCE</v>
      </c>
      <c r="Y7" s="88">
        <f>SMALL(תוצאות!$AK$4:$AK$95,4)</f>
        <v>2.4895717332628742E-2</v>
      </c>
      <c r="Z7" s="88" t="str">
        <f>VLOOKUP(Y7,תוצאות!$AK$4:$AU$95,11,FALSE)</f>
        <v>FRANCE</v>
      </c>
      <c r="AA7" s="88">
        <f>SMALL(תוצאות!$AL$4:$AL$95,4)</f>
        <v>-1.0740531373657491E-2</v>
      </c>
      <c r="AB7" s="88" t="str">
        <f>VLOOKUP(AA7,תוצאות!$AL$4:$AU$95,10,FALSE)</f>
        <v>BELGIUM</v>
      </c>
      <c r="AC7" s="88">
        <f>SMALL(תוצאות!$AM$4:$AM$95,4)</f>
        <v>-7.2830743653686247E-2</v>
      </c>
      <c r="AD7" s="88" t="str">
        <f>VLOOKUP(AC7,תוצאות!$AM$4:$AU$95,9,FALSE)</f>
        <v>UNITED KINGDOM</v>
      </c>
      <c r="AE7" s="88">
        <f>SMALL(תוצאות!$AN$4:$AN$95,4)</f>
        <v>-0.1384154336017982</v>
      </c>
      <c r="AF7" s="88" t="str">
        <f>VLOOKUP(AE7,תוצאות!$AN$4:$AU$95,8,FALSE)</f>
        <v>AFRICA</v>
      </c>
      <c r="AG7" s="88">
        <f>SMALL(תוצאות!$AO$4:$AO$95,4)</f>
        <v>8.2251082251082241E-2</v>
      </c>
      <c r="AH7" s="88" t="str">
        <f>VLOOKUP(AG7,תוצאות!$AO$4:$AU$95,7,FALSE)</f>
        <v>BRAZIL</v>
      </c>
      <c r="AI7" s="88">
        <f>SMALL(תוצאות!$AP$4:$AP$95,4)</f>
        <v>9.208240258128586E-2</v>
      </c>
      <c r="AJ7" s="88" t="str">
        <f>VLOOKUP(AI7,תוצאות!$AP$4:$AU$95,6,FALSE)</f>
        <v>BELGIUM</v>
      </c>
      <c r="AK7" s="92">
        <f>SMALL(תוצאות!$AQ$4:$AQ$95,4)</f>
        <v>8.3276912660798841E-2</v>
      </c>
      <c r="AL7" s="100" t="str">
        <f>VLOOKUP(AK7,תוצאות!$AQ$4:$AU$95,5,FALSE)</f>
        <v xml:space="preserve">      DENMARK</v>
      </c>
      <c r="AM7" s="99">
        <f>SMALL(תוצאות!$AR$4:$AR$95,4)</f>
        <v>4.98046875E-2</v>
      </c>
      <c r="AN7" s="92" t="str">
        <f>VLOOKUP(AM7,תוצאות!$AR$4:$AU$95,4,FALSE)</f>
        <v>CANADA</v>
      </c>
      <c r="AO7" s="99">
        <f>SMALL(תוצאות!$AS$4:$AS$95,4)</f>
        <v>4.2515067600586542E-2</v>
      </c>
      <c r="AP7" s="92" t="str">
        <f>VLOOKUP(AO7,תוצאות!$AS$4:$AU$95,3,FALSE)</f>
        <v>ITALY</v>
      </c>
      <c r="AQ7" s="99">
        <f>SMALL(תוצאות!$AT$4:$AT$95,4)</f>
        <v>8.2878581173260635E-2</v>
      </c>
      <c r="AR7" s="92" t="str">
        <f>VLOOKUP(AQ7,תוצאות!$AT$4:$AU$95,2,FALSE)</f>
        <v>FRANCE</v>
      </c>
    </row>
    <row r="8" spans="1:44">
      <c r="A8" s="88">
        <f>SMALL(תוצאות!$Y$4:$Y$95,5)</f>
        <v>-4.6263700596709256E-2</v>
      </c>
      <c r="B8" s="88" t="str">
        <f>VLOOKUP(A8,תוצאות!$Y$4:$AU$95,23,FALSE)</f>
        <v>POLAND</v>
      </c>
      <c r="C8" s="88">
        <f>SMALL(תוצאות!$Z$4:$Z$95,5)</f>
        <v>8.6076025321772498E-2</v>
      </c>
      <c r="D8" s="88" t="str">
        <f>VLOOKUP(C8,תוצאות!$Z$4:$AU$95,22,FALSE)</f>
        <v>NORDIC COUNTRIES</v>
      </c>
      <c r="E8" s="88">
        <f>SMALL(תוצאות!$AA$4:$AA$95,5)</f>
        <v>4.7561392888163745E-2</v>
      </c>
      <c r="F8" s="88" t="str">
        <f>VLOOKUP(E8,תוצאות!$AA$4:$AU$95,21,FALSE)</f>
        <v>TOTAL CIS</v>
      </c>
      <c r="G8" s="88">
        <f>SMALL(תוצאות!$AB$4:$AB$95,5)</f>
        <v>6.9137562366357708E-2</v>
      </c>
      <c r="H8" s="88" t="str">
        <f>VLOOKUP(G8,תוצאות!$AB$4:$AU$95,20,FALSE)</f>
        <v>UNITED KINGDOM</v>
      </c>
      <c r="I8" s="88">
        <f>SMALL(תוצאות!$AC$4:$AC$95,5)</f>
        <v>5.2161951146967978E-2</v>
      </c>
      <c r="J8" s="88" t="str">
        <f>VLOOKUP(I8,תוצאות!$AC$4:$AU$95,19,FALSE)</f>
        <v>AFRICA</v>
      </c>
      <c r="K8" s="88">
        <f>SMALL(תוצאות!$AD$4:$AD$95,5)</f>
        <v>0.11160515784793246</v>
      </c>
      <c r="L8" s="88" t="str">
        <f>VLOOKUP(K8,תוצאות!$AD$4:$AU$95,18,FALSE)</f>
        <v>BELGIUM</v>
      </c>
      <c r="M8" s="88">
        <f>SMALL(תוצאות!$AE$4:$AE$95,5)</f>
        <v>-2.429978258089327E-3</v>
      </c>
      <c r="N8" s="88" t="str">
        <f>VLOOKUP(M8,תוצאות!$AE$4:$AU$95,17,FALSE)</f>
        <v>ASIA -OTHER</v>
      </c>
      <c r="O8" s="88">
        <f>SMALL(תוצאות!$AF$4:$AF$95,5)</f>
        <v>-2.3549684089603784E-2</v>
      </c>
      <c r="P8" s="88" t="str">
        <f>VLOOKUP(O8,תוצאות!$AF$4:$AU$95,16,FALSE)</f>
        <v>BELGIUM</v>
      </c>
      <c r="Q8" s="88">
        <f>SMALL(תוצאות!$AG$4:$AG$95,5)</f>
        <v>9.431756177410433E-3</v>
      </c>
      <c r="R8" s="97" t="str">
        <f>VLOOKUP(Q8,תוצאות!$AG$4:$AU$95,15,FALSE)</f>
        <v>RUSSIA</v>
      </c>
      <c r="S8" s="88">
        <f>SMALL(תוצאות!$AH$4:$AH$95,5)</f>
        <v>5.0000000000000044E-2</v>
      </c>
      <c r="T8" s="88" t="str">
        <f>VLOOKUP(S8,תוצאות!$AH$4:$AU$95,14,FALSE)</f>
        <v>OTHER</v>
      </c>
      <c r="U8" s="88">
        <f>SMALL(תוצאות!$AI$4:$AI$95,5)</f>
        <v>6.3829787234042534E-2</v>
      </c>
      <c r="V8" s="88" t="str">
        <f>VLOOKUP(U8,תוצאות!$AI$4:$AU$95,13,FALSE)</f>
        <v>OTHER</v>
      </c>
      <c r="W8" s="88">
        <f>SMALL(תוצאות!$AJ$4:$AJ$95,5)</f>
        <v>0.19292472233648694</v>
      </c>
      <c r="X8" s="98" t="str">
        <f>VLOOKUP(W8,תוצאות!$AJ$4:$AU$95,12,FALSE)</f>
        <v>KOREA</v>
      </c>
      <c r="Y8" s="88">
        <f>SMALL(תוצאות!$AK$4:$AK$95,5)</f>
        <v>3.4330985915492995E-2</v>
      </c>
      <c r="Z8" s="88" t="str">
        <f>VLOOKUP(Y8,תוצאות!$AK$4:$AU$95,11,FALSE)</f>
        <v xml:space="preserve">      SWEDEN</v>
      </c>
      <c r="AA8" s="88">
        <f>SMALL(תוצאות!$AL$4:$AL$95,5)</f>
        <v>3.3421284080914715E-2</v>
      </c>
      <c r="AB8" s="88" t="str">
        <f>VLOOKUP(AA8,תוצאות!$AL$4:$AU$95,10,FALSE)</f>
        <v xml:space="preserve">      SWEDEN</v>
      </c>
      <c r="AC8" s="88">
        <f>SMALL(תוצאות!$AM$4:$AM$95,5)</f>
        <v>-5.6603773584905537E-2</v>
      </c>
      <c r="AD8" s="88" t="str">
        <f>VLOOKUP(AC8,תוצאות!$AM$4:$AU$95,9,FALSE)</f>
        <v>BELGIUM</v>
      </c>
      <c r="AE8" s="88">
        <f>SMALL(תוצאות!$AN$4:$AN$95,5)</f>
        <v>-0.12049252418645562</v>
      </c>
      <c r="AF8" s="88" t="str">
        <f>VLOOKUP(AE8,תוצאות!$AN$4:$AU$95,8,FALSE)</f>
        <v xml:space="preserve">      FINLAND</v>
      </c>
      <c r="AG8" s="88">
        <f>SMALL(תוצאות!$AO$4:$AO$95,5)</f>
        <v>0.11668779632170323</v>
      </c>
      <c r="AH8" s="88" t="str">
        <f>VLOOKUP(AG8,תוצאות!$AO$4:$AU$95,7,FALSE)</f>
        <v>TOTAL CIS</v>
      </c>
      <c r="AI8" s="88">
        <f>SMALL(תוצאות!$AP$4:$AP$95,5)</f>
        <v>9.2168353755993415E-2</v>
      </c>
      <c r="AJ8" s="88" t="str">
        <f>VLOOKUP(AI8,תוצאות!$AP$4:$AU$95,6,FALSE)</f>
        <v>CANADA</v>
      </c>
      <c r="AK8" s="92">
        <f>SMALL(תוצאות!$AQ$4:$AQ$95,5)</f>
        <v>0.11168562564632878</v>
      </c>
      <c r="AL8" s="100" t="str">
        <f>VLOOKUP(AK8,תוצאות!$AQ$4:$AU$95,5,FALSE)</f>
        <v>CANADA</v>
      </c>
      <c r="AM8" s="99">
        <f>SMALL(תוצאות!$AR$4:$AR$95,5)</f>
        <v>7.1003570011900052E-2</v>
      </c>
      <c r="AN8" s="92" t="str">
        <f>VLOOKUP(AM8,תוצאות!$AR$4:$AU$95,4,FALSE)</f>
        <v>AFRICA</v>
      </c>
      <c r="AO8" s="99">
        <f>SMALL(תוצאות!$AS$4:$AS$95,5)</f>
        <v>0.10978993261989678</v>
      </c>
      <c r="AP8" s="92" t="str">
        <f>VLOOKUP(AO8,תוצאות!$AS$4:$AU$95,3,FALSE)</f>
        <v>SPAIN</v>
      </c>
      <c r="AQ8" s="99">
        <f>SMALL(תוצאות!$AT$4:$AT$95,5)</f>
        <v>0.11209964412811368</v>
      </c>
      <c r="AR8" s="92" t="str">
        <f>VLOOKUP(AQ8,תוצאות!$AT$4:$AU$95,2,FALSE)</f>
        <v>OCEANIA</v>
      </c>
    </row>
    <row r="9" spans="1:44">
      <c r="A9" s="88">
        <f>SMALL(תוצאות!$Y$4:$Y$95,6)</f>
        <v>-7.9358781049032601E-5</v>
      </c>
      <c r="B9" s="88" t="str">
        <f>VLOOKUP(A9,תוצאות!$Y$4:$AU$95,23,FALSE)</f>
        <v xml:space="preserve">      SWEDEN</v>
      </c>
      <c r="C9" s="88">
        <f>SMALL(תוצאות!$Z$4:$Z$95,6)</f>
        <v>8.8350249494060007E-2</v>
      </c>
      <c r="D9" s="88" t="str">
        <f>VLOOKUP(C9,תוצאות!$Z$4:$AU$95,22,FALSE)</f>
        <v>FRANCE</v>
      </c>
      <c r="E9" s="88">
        <f>SMALL(תוצאות!$AA$4:$AA$95,6)</f>
        <v>5.9201815774541533E-2</v>
      </c>
      <c r="F9" s="88" t="str">
        <f>VLOOKUP(E9,תוצאות!$AA$4:$AU$95,21,FALSE)</f>
        <v>NORDIC COUNTRIES</v>
      </c>
      <c r="G9" s="88">
        <f>SMALL(תוצאות!$AB$4:$AB$95,6)</f>
        <v>7.1761416589002813E-2</v>
      </c>
      <c r="H9" s="88" t="str">
        <f>VLOOKUP(G9,תוצאות!$AB$4:$AU$95,20,FALSE)</f>
        <v>UKRAINE</v>
      </c>
      <c r="I9" s="88">
        <f>SMALL(תוצאות!$AC$4:$AC$95,6)</f>
        <v>5.8547498226659833E-2</v>
      </c>
      <c r="J9" s="88" t="str">
        <f>VLOOKUP(I9,תוצאות!$AC$4:$AU$95,19,FALSE)</f>
        <v>BRAZIL</v>
      </c>
      <c r="K9" s="88">
        <f>SMALL(תוצאות!$AD$4:$AD$95,6)</f>
        <v>0.1124410335844539</v>
      </c>
      <c r="L9" s="88" t="str">
        <f>VLOOKUP(K9,תוצאות!$AD$4:$AU$95,18,FALSE)</f>
        <v>UNITED KINGDOM</v>
      </c>
      <c r="M9" s="88">
        <f>SMALL(תוצאות!$AE$4:$AE$95,6)</f>
        <v>3.6090485235710457E-2</v>
      </c>
      <c r="N9" s="88" t="str">
        <f>VLOOKUP(M9,תוצאות!$AE$4:$AU$95,17,FALSE)</f>
        <v>NETHERLANDS</v>
      </c>
      <c r="O9" s="88">
        <f>SMALL(תוצאות!$AF$4:$AF$95,6)</f>
        <v>7.7437148615677742E-3</v>
      </c>
      <c r="P9" s="88" t="str">
        <f>VLOOKUP(O9,תוצאות!$AF$4:$AU$95,16,FALSE)</f>
        <v>GERMANY</v>
      </c>
      <c r="Q9" s="88">
        <f>SMALL(תוצאות!$AG$4:$AG$95,6)</f>
        <v>2.4937085335163589E-2</v>
      </c>
      <c r="R9" s="97" t="str">
        <f>VLOOKUP(Q9,תוצאות!$AG$4:$AU$95,15,FALSE)</f>
        <v>AFRICA</v>
      </c>
      <c r="S9" s="88">
        <f>SMALL(תוצאות!$AH$4:$AH$95,6)</f>
        <v>5.9007921379252037E-2</v>
      </c>
      <c r="T9" s="88" t="str">
        <f>VLOOKUP(S9,תוצאות!$AH$4:$AU$95,14,FALSE)</f>
        <v>NORDIC COUNTRIES</v>
      </c>
      <c r="U9" s="88">
        <f>SMALL(תוצאות!$AI$4:$AI$95,6)</f>
        <v>6.9958847736625529E-2</v>
      </c>
      <c r="V9" s="88" t="str">
        <f>VLOOKUP(U9,תוצאות!$AI$4:$AU$95,13,FALSE)</f>
        <v>INDIA</v>
      </c>
      <c r="W9" s="88">
        <f>SMALL(תוצאות!$AJ$4:$AJ$95,6)</f>
        <v>0.19438366156090447</v>
      </c>
      <c r="X9" s="88" t="str">
        <f>VLOOKUP(W9,תוצאות!$AJ$4:$AU$95,12,FALSE)</f>
        <v>UKRAINE</v>
      </c>
      <c r="Y9" s="88">
        <f>SMALL(תוצאות!$AK$4:$AK$95,6)</f>
        <v>5.2631578947368363E-2</v>
      </c>
      <c r="Z9" s="88" t="str">
        <f>VLOOKUP(Y9,תוצאות!$AK$4:$AU$95,11,FALSE)</f>
        <v>UNITED KINGDOM</v>
      </c>
      <c r="AA9" s="88">
        <f>SMALL(תוצאות!$AL$4:$AL$95,6)</f>
        <v>3.89036251105217E-2</v>
      </c>
      <c r="AB9" s="98" t="str">
        <f>VLOOKUP(AA9,תוצאות!$AL$4:$AU$95,10,FALSE)</f>
        <v xml:space="preserve">      FINLAND</v>
      </c>
      <c r="AC9" s="88">
        <f>SMALL(תוצאות!$AM$4:$AM$95,6)</f>
        <v>-3.5323478594739721E-2</v>
      </c>
      <c r="AD9" s="88" t="str">
        <f>VLOOKUP(AC9,תוצאות!$AM$4:$AU$95,9,FALSE)</f>
        <v>FRANCE</v>
      </c>
      <c r="AE9" s="88">
        <f>SMALL(תוצאות!$AN$4:$AN$95,6)</f>
        <v>-0.10865874363327666</v>
      </c>
      <c r="AF9" s="98" t="str">
        <f>VLOOKUP(AE9,תוצאות!$AN$4:$AU$95,8,FALSE)</f>
        <v xml:space="preserve">      SWEDEN</v>
      </c>
      <c r="AG9" s="88">
        <f>SMALL(תוצאות!$AO$4:$AO$95,6)</f>
        <v>0.13392583512105438</v>
      </c>
      <c r="AH9" s="88" t="str">
        <f>VLOOKUP(AG9,תוצאות!$AO$4:$AU$95,7,FALSE)</f>
        <v>POLAND</v>
      </c>
      <c r="AI9" s="88">
        <f>SMALL(תוצאות!$AP$4:$AP$95,6)</f>
        <v>9.6319498825371719E-2</v>
      </c>
      <c r="AJ9" s="88" t="str">
        <f>VLOOKUP(AI9,תוצאות!$AP$4:$AU$95,6,FALSE)</f>
        <v>AFRICA</v>
      </c>
      <c r="AK9" s="92">
        <f>SMALL(תוצאות!$AQ$4:$AQ$95,6)</f>
        <v>0.14822546972860118</v>
      </c>
      <c r="AL9" s="100" t="str">
        <f>VLOOKUP(AK9,תוצאות!$AQ$4:$AU$95,5,FALSE)</f>
        <v>BRAZIL</v>
      </c>
      <c r="AM9" s="99">
        <f>SMALL(תוצאות!$AR$4:$AR$95,6)</f>
        <v>7.7130217349490326E-2</v>
      </c>
      <c r="AN9" s="92" t="str">
        <f>VLOOKUP(AM9,תוצאות!$AR$4:$AU$95,4,FALSE)</f>
        <v>NORDIC COUNTRIES</v>
      </c>
      <c r="AO9" s="99">
        <f>SMALL(תוצאות!$AS$4:$AS$95,6)</f>
        <v>0.11327900837828531</v>
      </c>
      <c r="AP9" s="92" t="str">
        <f>VLOOKUP(AO9,תוצאות!$AS$4:$AU$95,3,FALSE)</f>
        <v>UNITED KINGDOM</v>
      </c>
      <c r="AQ9" s="92"/>
      <c r="AR9" s="92"/>
    </row>
    <row r="10" spans="1:44">
      <c r="A10" s="88">
        <f>SMALL(תוצאות!$Y$4:$Y$95,7)</f>
        <v>7.7134928088298249E-3</v>
      </c>
      <c r="B10" s="88" t="str">
        <f>VLOOKUP(A10,תוצאות!$Y$4:$AU$95,23,FALSE)</f>
        <v>UNITED KINGDOM</v>
      </c>
      <c r="C10" s="88">
        <f>SMALL(תוצאות!$Z$4:$Z$95,7)</f>
        <v>0.10471034610401619</v>
      </c>
      <c r="D10" s="88" t="str">
        <f>VLOOKUP(C10,תוצאות!$Z$4:$AU$95,22,FALSE)</f>
        <v>UNITED KINGDOM</v>
      </c>
      <c r="E10" s="88">
        <f>SMALL(תוצאות!$AA$4:$AA$95,7)</f>
        <v>9.6804959465903506E-2</v>
      </c>
      <c r="F10" s="88" t="str">
        <f>VLOOKUP(E10,תוצאות!$AA$4:$AU$95,21,FALSE)</f>
        <v xml:space="preserve">      SWEDEN</v>
      </c>
      <c r="G10" s="88">
        <f>SMALL(תוצאות!$AB$4:$AB$95,7)</f>
        <v>9.9332548095798945E-2</v>
      </c>
      <c r="H10" s="88" t="str">
        <f>VLOOKUP(G10,תוצאות!$AB$4:$AU$95,20,FALSE)</f>
        <v>SOUTH AFRICA</v>
      </c>
      <c r="I10" s="88">
        <f>SMALL(תוצאות!$AC$4:$AC$95,7)</f>
        <v>8.0588465043614388E-2</v>
      </c>
      <c r="J10" s="88" t="str">
        <f>VLOOKUP(I10,תוצאות!$AC$4:$AU$95,19,FALSE)</f>
        <v>POLAND</v>
      </c>
      <c r="K10" s="88">
        <f>SMALL(תוצאות!$AD$4:$AD$95,7)</f>
        <v>0.13187680968675952</v>
      </c>
      <c r="L10" s="88" t="str">
        <f>VLOOKUP(K10,תוצאות!$AD$4:$AU$95,18,FALSE)</f>
        <v>OTHER</v>
      </c>
      <c r="M10" s="88">
        <f>SMALL(תוצאות!$AE$4:$AE$95,7)</f>
        <v>4.1666666666666741E-2</v>
      </c>
      <c r="N10" s="88" t="str">
        <f>VLOOKUP(M10,תוצאות!$AE$4:$AU$95,17,FALSE)</f>
        <v>AUSTRIA</v>
      </c>
      <c r="O10" s="88">
        <f>SMALL(תוצאות!$AF$4:$AF$95,7)</f>
        <v>1.5228426395939021E-2</v>
      </c>
      <c r="P10" s="88" t="str">
        <f>VLOOKUP(O10,תוצאות!$AF$4:$AU$95,16,FALSE)</f>
        <v>AUSTRIA</v>
      </c>
      <c r="Q10" s="88">
        <f>SMALL(תוצאות!$AG$4:$AG$95,7)</f>
        <v>4.4118675274430696E-2</v>
      </c>
      <c r="R10" s="97" t="str">
        <f>VLOOKUP(Q10,תוצאות!$AG$4:$AU$95,15,FALSE)</f>
        <v>FRANCE</v>
      </c>
      <c r="S10" s="88">
        <f>SMALL(תוצאות!$AH$4:$AH$95,7)</f>
        <v>6.2291039290541139E-2</v>
      </c>
      <c r="T10" s="88" t="str">
        <f>VLOOKUP(S10,תוצאות!$AH$4:$AU$95,14,FALSE)</f>
        <v>FRANCE</v>
      </c>
      <c r="U10" s="88">
        <f>SMALL(תוצאות!$AI$4:$AI$95,7)</f>
        <v>7.5137818658057354E-2</v>
      </c>
      <c r="V10" s="88" t="str">
        <f>VLOOKUP(U10,תוצאות!$AI$4:$AU$95,13,FALSE)</f>
        <v>FRANCE</v>
      </c>
      <c r="W10" s="88">
        <f>SMALL(תוצאות!$AJ$4:$AJ$95,7)</f>
        <v>0.19970468807678099</v>
      </c>
      <c r="X10" s="88" t="str">
        <f>VLOOKUP(W10,תוצאות!$AJ$4:$AU$95,12,FALSE)</f>
        <v>INDIA</v>
      </c>
      <c r="Y10" s="88">
        <f>SMALL(תוצאות!$AK$4:$AK$95,7)</f>
        <v>5.5778159384341386E-2</v>
      </c>
      <c r="Z10" s="88" t="str">
        <f>VLOOKUP(Y10,תוצאות!$AK$4:$AU$95,11,FALSE)</f>
        <v>NORDIC COUNTRIES</v>
      </c>
      <c r="AA10" s="88">
        <f>SMALL(תוצאות!$AL$4:$AL$95,7)</f>
        <v>4.8019763761290912E-2</v>
      </c>
      <c r="AB10" s="88" t="str">
        <f>VLOOKUP(AA10,תוצאות!$AL$4:$AU$95,10,FALSE)</f>
        <v>FRANCE</v>
      </c>
      <c r="AC10" s="88">
        <f>SMALL(תוצאות!$AM$4:$AM$95,7)</f>
        <v>1.6694490818029983E-3</v>
      </c>
      <c r="AD10" s="88" t="str">
        <f>VLOOKUP(AC10,תוצאות!$AM$4:$AU$95,9,FALSE)</f>
        <v>BRAZIL</v>
      </c>
      <c r="AE10" s="88">
        <f>SMALL(תוצאות!$AN$4:$AN$95,7)</f>
        <v>-4.6052631578947345E-2</v>
      </c>
      <c r="AF10" s="88" t="str">
        <f>VLOOKUP(AE10,תוצאות!$AN$4:$AU$95,8,FALSE)</f>
        <v>UNITED KINGDOM</v>
      </c>
      <c r="AG10" s="88">
        <f>SMALL(תוצאות!$AO$4:$AO$95,7)</f>
        <v>0.14020270270270263</v>
      </c>
      <c r="AH10" s="88" t="str">
        <f>VLOOKUP(AG10,תוצאות!$AO$4:$AU$95,7,FALSE)</f>
        <v xml:space="preserve">      DENMARK</v>
      </c>
      <c r="AI10" s="88">
        <f>SMALL(תוצאות!$AP$4:$AP$95,7)</f>
        <v>0.12265908422394323</v>
      </c>
      <c r="AJ10" s="98" t="str">
        <f>VLOOKUP(AI10,תוצאות!$AP$4:$AU$95,6,FALSE)</f>
        <v>UNITED KINGDOM</v>
      </c>
      <c r="AK10" s="92">
        <f>SMALL(תוצאות!$AQ$4:$AQ$95,7)</f>
        <v>0.15440115440115432</v>
      </c>
      <c r="AL10" s="100" t="str">
        <f>VLOOKUP(AK10,תוצאות!$AQ$4:$AU$95,5,FALSE)</f>
        <v>NORDIC COUNTRIES</v>
      </c>
      <c r="AM10" s="99"/>
      <c r="AN10" s="92"/>
      <c r="AO10" s="99">
        <f>SMALL(תוצאות!$AS$4:$AS$95,7)</f>
        <v>0.12923462986198242</v>
      </c>
      <c r="AP10" s="92" t="str">
        <f>VLOOKUP(AO10,תוצאות!$AS$4:$AU$95,3,FALSE)</f>
        <v>BELGIUM</v>
      </c>
      <c r="AQ10" s="92"/>
      <c r="AR10" s="92"/>
    </row>
    <row r="11" spans="1:44">
      <c r="A11" s="88">
        <f>SMALL(תוצאות!$Y$4:$Y$95,8)</f>
        <v>1.8198182994402901E-2</v>
      </c>
      <c r="B11" s="88" t="str">
        <f>VLOOKUP(A11,תוצאות!$Y$4:$AU$95,23,FALSE)</f>
        <v>NORDIC COUNTRIES</v>
      </c>
      <c r="C11" s="88">
        <f>SMALL(תוצאות!$Z$4:$Z$95,8)</f>
        <v>0.13616850781294754</v>
      </c>
      <c r="D11" s="88" t="str">
        <f>VLOOKUP(C11,תוצאות!$Z$4:$AU$95,22,FALSE)</f>
        <v>ASIA -OTHER</v>
      </c>
      <c r="E11" s="88">
        <f>SMALL(תוצאות!$AA$4:$AA$95,8)</f>
        <v>0.12697220135236664</v>
      </c>
      <c r="F11" s="88" t="str">
        <f>VLOOKUP(E11,תוצאות!$AA$4:$AU$95,21,FALSE)</f>
        <v>TURKEY</v>
      </c>
      <c r="G11" s="88">
        <f>SMALL(תוצאות!$AB$4:$AB$95,8)</f>
        <v>0.12897707834416705</v>
      </c>
      <c r="H11" s="88" t="str">
        <f>VLOOKUP(G11,תוצאות!$AB$4:$AU$95,20,FALSE)</f>
        <v>ASIA -OTHER</v>
      </c>
      <c r="I11" s="88">
        <f>SMALL(תוצאות!$AC$4:$AC$95,8)</f>
        <v>9.4286804937014912E-2</v>
      </c>
      <c r="J11" s="88" t="str">
        <f>VLOOKUP(I11,תוצאות!$AC$4:$AU$95,19,FALSE)</f>
        <v>OTHER</v>
      </c>
      <c r="M11" s="88">
        <f>SMALL(תוצאות!$AE$4:$AE$95,8)</f>
        <v>5.0562801500803944E-2</v>
      </c>
      <c r="N11" s="98" t="str">
        <f>VLOOKUP(M11,תוצאות!$AE$4:$AU$95,17,FALSE)</f>
        <v>FRANCE</v>
      </c>
      <c r="O11" s="88">
        <f>SMALL(תוצאות!$AF$4:$AF$95,8)</f>
        <v>4.5528115699890348E-2</v>
      </c>
      <c r="P11" s="88" t="str">
        <f>VLOOKUP(O11,תוצאות!$AF$4:$AU$95,16,FALSE)</f>
        <v>UNITED STATES</v>
      </c>
      <c r="Q11" s="88">
        <f>SMALL(תוצאות!$AG$4:$AG$95,8)</f>
        <v>5.2458477224140987E-2</v>
      </c>
      <c r="R11" s="97" t="str">
        <f>VLOOKUP(Q11,תוצאות!$AG$4:$AU$95,15,FALSE)</f>
        <v>MEXICO</v>
      </c>
      <c r="S11" s="88">
        <f>SMALL(תוצאות!$AH$4:$AH$95,8)</f>
        <v>0.10726643598615926</v>
      </c>
      <c r="T11" s="88" t="str">
        <f>VLOOKUP(S11,תוצאות!$AH$4:$AU$95,14,FALSE)</f>
        <v xml:space="preserve">      FINLAND</v>
      </c>
      <c r="U11" s="88">
        <f>SMALL(תוצאות!$AI$4:$AI$95,8)</f>
        <v>7.7262693156732842E-2</v>
      </c>
      <c r="V11" s="88" t="str">
        <f>VLOOKUP(U11,תוצאות!$AI$4:$AU$95,13,FALSE)</f>
        <v>AFRICA</v>
      </c>
      <c r="W11" s="88">
        <f>SMALL(תוצאות!$AJ$4:$AJ$95,8)</f>
        <v>0.24333925399644762</v>
      </c>
      <c r="X11" s="88" t="str">
        <f>VLOOKUP(W11,תוצאות!$AJ$4:$AU$95,12,FALSE)</f>
        <v>BELARUS</v>
      </c>
      <c r="Y11" s="88">
        <f>SMALL(תוצאות!$AK$4:$AK$95,8)</f>
        <v>5.7934508816120722E-2</v>
      </c>
      <c r="Z11" s="88" t="str">
        <f>VLOOKUP(Y11,תוצאות!$AK$4:$AU$95,11,FALSE)</f>
        <v>BRAZIL</v>
      </c>
      <c r="AA11" s="88">
        <f>SMALL(תוצאות!$AL$4:$AL$95,8)</f>
        <v>5.0620821394460336E-2</v>
      </c>
      <c r="AB11" s="88" t="str">
        <f>VLOOKUP(AA11,תוצאות!$AL$4:$AU$95,10,FALSE)</f>
        <v>UNITED KINGDOM</v>
      </c>
      <c r="AC11" s="88">
        <f>SMALL(תוצאות!$AM$4:$AM$95,8)</f>
        <v>4.0160642570281624E-3</v>
      </c>
      <c r="AD11" s="88" t="str">
        <f>VLOOKUP(AC11,תוצאות!$AM$4:$AU$95,9,FALSE)</f>
        <v>AUSTRALIA</v>
      </c>
      <c r="AE11" s="88">
        <f>SMALL(תוצאות!$AN$4:$AN$95,8)</f>
        <v>-4.3303121852970805E-2</v>
      </c>
      <c r="AF11" s="88" t="str">
        <f>VLOOKUP(AE11,תוצאות!$AN$4:$AU$95,8,FALSE)</f>
        <v>SPAIN</v>
      </c>
      <c r="AG11" s="88">
        <f>SMALL(תוצאות!$AO$4:$AO$95,8)</f>
        <v>0.15127444572922433</v>
      </c>
      <c r="AH11" s="88" t="str">
        <f>VLOOKUP(AG11,תוצאות!$AO$4:$AU$95,7,FALSE)</f>
        <v>UNITED KINGDOM</v>
      </c>
      <c r="AI11" s="88">
        <f>SMALL(תוצאות!$AP$4:$AP$95,8)</f>
        <v>0.1336032388663968</v>
      </c>
      <c r="AJ11" s="88" t="str">
        <f>VLOOKUP(AI11,תוצאות!$AP$4:$AU$95,6,FALSE)</f>
        <v>SWITZERLAND</v>
      </c>
      <c r="AK11" s="92">
        <f>SMALL(תוצאות!$AQ$4:$AQ$95,8)</f>
        <v>0.17244748412310695</v>
      </c>
      <c r="AL11" s="100" t="str">
        <f>VLOOKUP(AK11,תוצאות!$AQ$4:$AU$95,5,FALSE)</f>
        <v>INDIA</v>
      </c>
      <c r="AM11" s="99"/>
      <c r="AN11" s="92"/>
      <c r="AO11" s="99">
        <f>SMALL(תוצאות!$AS$4:$AS$95,8)</f>
        <v>0.12972341254382536</v>
      </c>
      <c r="AP11" s="92" t="str">
        <f>VLOOKUP(AO11,תוצאות!$AS$4:$AU$95,3,FALSE)</f>
        <v>NETHERLANDS</v>
      </c>
      <c r="AQ11" s="92"/>
      <c r="AR11" s="92"/>
    </row>
    <row r="12" spans="1:44">
      <c r="A12" s="88">
        <f>SMALL(תוצאות!$Y$4:$Y$95,9)</f>
        <v>1.9411753892137229E-2</v>
      </c>
      <c r="B12" s="88" t="str">
        <f>VLOOKUP(A12,תוצאות!$Y$4:$AU$95,23,FALSE)</f>
        <v>EUROPE</v>
      </c>
      <c r="C12" s="88">
        <f>SMALL(תוצאות!$Z$4:$Z$95,9)</f>
        <v>0.16199589883800392</v>
      </c>
      <c r="D12" s="88" t="str">
        <f>VLOOKUP(C12,תוצאות!$Z$4:$AU$95,22,FALSE)</f>
        <v>OTHER</v>
      </c>
      <c r="E12" s="88">
        <f>SMALL(תוצאות!$AA$4:$AA$95,9)</f>
        <v>0.14005389345678143</v>
      </c>
      <c r="F12" s="88" t="str">
        <f>VLOOKUP(E12,תוצאות!$AA$4:$AU$95,21,FALSE)</f>
        <v>UNITED KINGDOM</v>
      </c>
      <c r="G12" s="88">
        <f>SMALL(תוצאות!$AB$4:$AB$95,9)</f>
        <v>0.14285714285714279</v>
      </c>
      <c r="H12" s="88" t="str">
        <f>VLOOKUP(G12,תוצאות!$AB$4:$AU$95,20,FALSE)</f>
        <v>NETHERLANDS</v>
      </c>
      <c r="I12" s="88">
        <f>SMALL(תוצאות!$AC$4:$AC$95,9)</f>
        <v>9.9706744868035102E-2</v>
      </c>
      <c r="J12" s="98" t="str">
        <f>VLOOKUP(I12,תוצאות!$AC$4:$AU$95,19,FALSE)</f>
        <v>BELGIUM</v>
      </c>
      <c r="M12" s="88">
        <f>SMALL(תוצאות!$AE$4:$AE$95,9)</f>
        <v>7.0460704607046232E-2</v>
      </c>
      <c r="N12" s="88" t="str">
        <f>VLOOKUP(M12,תוצאות!$AE$4:$AU$95,17,FALSE)</f>
        <v>ITALY</v>
      </c>
      <c r="O12" s="88">
        <f>SMALL(תוצאות!$AF$4:$AF$95,9)</f>
        <v>9.5647329488594668E-2</v>
      </c>
      <c r="P12" s="88" t="str">
        <f>VLOOKUP(O12,תוצאות!$AF$4:$AU$95,16,FALSE)</f>
        <v>AMERICA</v>
      </c>
      <c r="Q12" s="88">
        <f>SMALL(תוצאות!$AG$4:$AG$95,9)</f>
        <v>7.1811361200428747E-2</v>
      </c>
      <c r="R12" s="97" t="str">
        <f>VLOOKUP(Q12,תוצאות!$AG$4:$AU$95,15,FALSE)</f>
        <v>NORDIC COUNTRIES</v>
      </c>
      <c r="S12" s="88">
        <f>SMALL(תוצאות!$AH$4:$AH$95,9)</f>
        <v>0.139693910778248</v>
      </c>
      <c r="T12" s="88" t="str">
        <f>VLOOKUP(S12,תוצאות!$AH$4:$AU$95,14,FALSE)</f>
        <v>OTHER</v>
      </c>
      <c r="U12" s="88">
        <f>SMALL(תוצאות!$AI$4:$AI$95,9)</f>
        <v>8.7166706056764687E-2</v>
      </c>
      <c r="V12" s="88" t="str">
        <f>VLOOKUP(U12,תוצאות!$AI$4:$AU$95,13,FALSE)</f>
        <v>TOTAL CIS</v>
      </c>
      <c r="W12" s="88">
        <f>SMALL(תוצאות!$AJ$4:$AJ$95,9)</f>
        <v>0.25171729506945484</v>
      </c>
      <c r="X12" s="88" t="str">
        <f>VLOOKUP(W12,תוצאות!$AJ$4:$AU$95,12,FALSE)</f>
        <v>ASIA -OTHER</v>
      </c>
      <c r="Y12" s="88">
        <f>SMALL(תוצאות!$AK$4:$AK$95,9)</f>
        <v>6.7561384779624811E-2</v>
      </c>
      <c r="Z12" s="88" t="str">
        <f>VLOOKUP(Y12,תוצאות!$AK$4:$AU$95,11,FALSE)</f>
        <v>BELGIUM</v>
      </c>
      <c r="AA12" s="88">
        <f>SMALL(תוצאות!$AL$4:$AL$95,9)</f>
        <v>8.7476099426386345E-2</v>
      </c>
      <c r="AB12" s="88" t="str">
        <f>VLOOKUP(AA12,תוצאות!$AL$4:$AU$95,10,FALSE)</f>
        <v>SWITZERLAND</v>
      </c>
      <c r="AC12" s="88">
        <f>SMALL(תוצאות!$AM$4:$AM$95,9)</f>
        <v>2.9866117404737436E-2</v>
      </c>
      <c r="AD12" s="88" t="str">
        <f>VLOOKUP(AC12,תוצאות!$AM$4:$AU$95,9,FALSE)</f>
        <v>RUSSIA</v>
      </c>
      <c r="AE12" s="88">
        <f>SMALL(תוצאות!$AN$4:$AN$95,9)</f>
        <v>2.100350058343059E-2</v>
      </c>
      <c r="AF12" s="88" t="str">
        <f>VLOOKUP(AE12,תוצאות!$AN$4:$AU$95,8,FALSE)</f>
        <v>SWITZERLAND</v>
      </c>
      <c r="AG12" s="88">
        <f>SMALL(תוצאות!$AO$4:$AO$95,9)</f>
        <v>0.15759010786635108</v>
      </c>
      <c r="AH12" s="98" t="str">
        <f>VLOOKUP(AG12,תוצאות!$AO$4:$AU$95,7,FALSE)</f>
        <v>BELGIUM</v>
      </c>
      <c r="AI12" s="88">
        <f>SMALL(תוצאות!$AP$4:$AP$95,9)</f>
        <v>0.14087533280396114</v>
      </c>
      <c r="AJ12" s="88" t="str">
        <f>VLOOKUP(AI12,תוצאות!$AP$4:$AU$95,6,FALSE)</f>
        <v>UNITED STATES</v>
      </c>
      <c r="AK12" s="92">
        <f>SMALL(תוצאות!$AQ$4:$AQ$95,9)</f>
        <v>0.17806977797915735</v>
      </c>
      <c r="AL12" s="100" t="str">
        <f>VLOOKUP(AK12,תוצאות!$AQ$4:$AU$95,5,FALSE)</f>
        <v>BELGIUM</v>
      </c>
      <c r="AM12" s="99"/>
      <c r="AN12" s="92"/>
      <c r="AO12" s="99"/>
      <c r="AP12" s="92"/>
      <c r="AQ12" s="92"/>
      <c r="AR12" s="92"/>
    </row>
    <row r="13" spans="1:44">
      <c r="A13" s="88">
        <f>SMALL(תוצאות!$Y$4:$Y$95,10)</f>
        <v>5.6448084015752853E-2</v>
      </c>
      <c r="B13" s="88" t="str">
        <f>VLOOKUP(A13,תוצאות!$Y$4:$AU$95,23,FALSE)</f>
        <v>AFRICA</v>
      </c>
      <c r="C13" s="88">
        <f>SMALL(תוצאות!$Z$4:$Z$95,10)</f>
        <v>0.17318435754189965</v>
      </c>
      <c r="D13" s="88" t="str">
        <f>VLOOKUP(C13,תוצאות!$Z$4:$AU$95,22,FALSE)</f>
        <v xml:space="preserve">      SWEDEN</v>
      </c>
      <c r="E13" s="88">
        <f>SMALL(תוצאות!$AA$4:$AA$95,10)</f>
        <v>0.15713566996478279</v>
      </c>
      <c r="F13" s="88" t="str">
        <f>VLOOKUP(E13,תוצאות!$AA$4:$AU$95,21,FALSE)</f>
        <v>CANADA</v>
      </c>
      <c r="I13" s="88">
        <f>SMALL(תוצאות!$AC$4:$AC$95,10)</f>
        <v>0.10999994764151189</v>
      </c>
      <c r="J13" s="88" t="str">
        <f>VLOOKUP(I13,תוצאות!$AC$4:$AU$95,19,FALSE)</f>
        <v>TOTAL CIS</v>
      </c>
      <c r="M13" s="88">
        <f>SMALL(תוצאות!$AE$4:$AE$95,10)</f>
        <v>7.0844840218677874E-2</v>
      </c>
      <c r="N13" s="88" t="str">
        <f>VLOOKUP(M13,תוצאות!$AE$4:$AU$95,17,FALSE)</f>
        <v>GERMANY</v>
      </c>
      <c r="Q13" s="88">
        <f>SMALL(תוצאות!$AG$4:$AG$95,10)</f>
        <v>7.5228107371370312E-2</v>
      </c>
      <c r="R13" s="98" t="str">
        <f>VLOOKUP(Q13,תוצאות!$AG$4:$AU$95,15,FALSE)</f>
        <v>POLAND</v>
      </c>
      <c r="U13" s="88">
        <f>SMALL(תוצאות!$AI$4:$AI$95,10)</f>
        <v>8.8543740873489929E-2</v>
      </c>
      <c r="V13" s="88" t="str">
        <f>VLOOKUP(U13,תוצאות!$AI$4:$AU$95,13,FALSE)</f>
        <v>ASIA -OTHER</v>
      </c>
      <c r="W13" s="88">
        <f>SMALL(תוצאות!$AJ$4:$AJ$95,10)</f>
        <v>0.29916812159802819</v>
      </c>
      <c r="X13" s="88" t="str">
        <f>VLOOKUP(W13,תוצאות!$AJ$4:$AU$95,12,FALSE)</f>
        <v>TOTAL CIS</v>
      </c>
      <c r="Y13" s="88">
        <f>SMALL(תוצאות!$AK$4:$AK$95,10)</f>
        <v>7.4254572132264496E-2</v>
      </c>
      <c r="Z13" s="88" t="str">
        <f>VLOOKUP(Y13,תוצאות!$AK$4:$AU$95,11,FALSE)</f>
        <v>ITALY</v>
      </c>
      <c r="AA13" s="88">
        <f>SMALL(תוצאות!$AL$4:$AL$95,10)</f>
        <v>0.10222606440458182</v>
      </c>
      <c r="AB13" s="88" t="str">
        <f>VLOOKUP(AA13,תוצאות!$AL$4:$AU$95,10,FALSE)</f>
        <v>SPAIN</v>
      </c>
      <c r="AC13" s="88">
        <f>SMALL(תוצאות!$AM$4:$AM$95,10)</f>
        <v>4.8565121412803558E-2</v>
      </c>
      <c r="AD13" s="88" t="str">
        <f>VLOOKUP(AC13,תוצאות!$AM$4:$AU$95,9,FALSE)</f>
        <v>SPAIN</v>
      </c>
      <c r="AE13" s="88">
        <f>SMALL(תוצאות!$AN$4:$AN$95,10)</f>
        <v>3.5196687370600444E-2</v>
      </c>
      <c r="AF13" s="88" t="str">
        <f>VLOOKUP(AE13,תוצאות!$AN$4:$AU$95,8,FALSE)</f>
        <v>AUSTRIA</v>
      </c>
      <c r="AG13" s="88">
        <f>SMALL(תוצאות!$AO$4:$AO$95,10)</f>
        <v>0.17009132420091322</v>
      </c>
      <c r="AH13" s="88" t="str">
        <f>VLOOKUP(AG13,תוצאות!$AO$4:$AU$95,7,FALSE)</f>
        <v>CANADA</v>
      </c>
      <c r="AI13" s="88">
        <f>SMALL(תוצאות!$AP$4:$AP$95,10)</f>
        <v>0.1560693641618498</v>
      </c>
      <c r="AJ13" s="88" t="str">
        <f>VLOOKUP(AI13,תוצאות!$AP$4:$AU$95,6,FALSE)</f>
        <v>INDIA</v>
      </c>
      <c r="AK13" s="92">
        <f>SMALL(תוצאות!$AQ$4:$AQ$95,10)</f>
        <v>0.18089103596349965</v>
      </c>
      <c r="AL13" s="100" t="str">
        <f>VLOOKUP(AK13,תוצאות!$AQ$4:$AU$95,5,FALSE)</f>
        <v>UNITED KINGDOM</v>
      </c>
      <c r="AM13" s="99"/>
      <c r="AN13" s="92"/>
      <c r="AO13" s="99"/>
      <c r="AP13" s="92"/>
      <c r="AQ13" s="92"/>
      <c r="AR13" s="92"/>
    </row>
    <row r="14" spans="1:44">
      <c r="A14" s="88">
        <f>SMALL(תוצאות!$Y$4:$Y$95,11)</f>
        <v>5.7721365971592498E-2</v>
      </c>
      <c r="B14" s="88" t="str">
        <f>VLOOKUP(A14,תוצאות!$Y$4:$AU$95,23,FALSE)</f>
        <v>BELGIUM</v>
      </c>
      <c r="E14" s="88">
        <f>SMALL(תוצאות!$AA$4:$AA$95,11)</f>
        <v>0.1879049676025919</v>
      </c>
      <c r="F14" s="98" t="str">
        <f>VLOOKUP(E14,תוצאות!$AA$4:$AU$95,21,FALSE)</f>
        <v>AUSTRIA</v>
      </c>
      <c r="I14" s="88">
        <f>SMALL(תוצאות!$AC$4:$AC$95,11)</f>
        <v>0.1212990036051893</v>
      </c>
      <c r="J14" s="98" t="str">
        <f>VLOOKUP(I14,תוצאות!$AC$4:$AU$95,19,FALSE)</f>
        <v>UNITED KINGDOM</v>
      </c>
      <c r="M14" s="88">
        <f>SMALL(תוצאות!$AE$4:$AE$95,11)</f>
        <v>0.11002285341168783</v>
      </c>
      <c r="N14" s="88" t="str">
        <f>VLOOKUP(M14,תוצאות!$AE$4:$AU$95,17,FALSE)</f>
        <v>BELGIUM</v>
      </c>
      <c r="Q14" s="88">
        <f>SMALL(תוצאות!$AG$4:$AG$95,11)</f>
        <v>9.6719296586933901E-2</v>
      </c>
      <c r="R14" s="98" t="str">
        <f>VLOOKUP(Q14,תוצאות!$AG$4:$AU$95,15,FALSE)</f>
        <v>BELGIUM</v>
      </c>
      <c r="U14" s="88">
        <f>SMALL(תוצאות!$AI$4:$AI$95,11)</f>
        <v>0.10149488591660116</v>
      </c>
      <c r="V14" s="88" t="str">
        <f>VLOOKUP(U14,תוצאות!$AI$4:$AU$95,13,FALSE)</f>
        <v>MEXICO</v>
      </c>
      <c r="W14" s="88">
        <f>SMALL(תוצאות!$AJ$4:$AJ$95,11)</f>
        <v>0.33656369876842329</v>
      </c>
      <c r="X14" s="88" t="str">
        <f>VLOOKUP(W14,תוצאות!$AJ$4:$AU$95,12,FALSE)</f>
        <v>RUSSIA</v>
      </c>
      <c r="Y14" s="88">
        <f>SMALL(תוצאות!$AK$4:$AK$95,11)</f>
        <v>0.11959391694127763</v>
      </c>
      <c r="Z14" s="98" t="str">
        <f>VLOOKUP(Y14,תוצאות!$AK$4:$AU$95,11,FALSE)</f>
        <v>TOTAL CIS</v>
      </c>
      <c r="AA14" s="88">
        <f>SMALL(תוצאות!$AL$4:$AL$95,11)</f>
        <v>0.10262934690415615</v>
      </c>
      <c r="AB14" s="88" t="str">
        <f>VLOOKUP(AA14,תוצאות!$AL$4:$AU$95,10,FALSE)</f>
        <v>SOUTH AFRICA</v>
      </c>
      <c r="AC14" s="88">
        <f>SMALL(תוצאות!$AM$4:$AM$95,11)</f>
        <v>4.986876640419946E-2</v>
      </c>
      <c r="AD14" s="88" t="str">
        <f>VLOOKUP(AC14,תוצאות!$AM$4:$AU$95,9,FALSE)</f>
        <v>OCEANIA</v>
      </c>
      <c r="AE14" s="88">
        <f>SMALL(תוצאות!$AN$4:$AN$95,11)</f>
        <v>6.1035666318459691E-2</v>
      </c>
      <c r="AF14" s="88" t="str">
        <f>VLOOKUP(AE14,תוצאות!$AN$4:$AU$95,8,FALSE)</f>
        <v>AMERICA</v>
      </c>
      <c r="AG14" s="88">
        <f>SMALL(תוצאות!$AO$4:$AO$95,11)</f>
        <v>0.19017497421125351</v>
      </c>
      <c r="AH14" s="88" t="str">
        <f>VLOOKUP(AG14,תוצאות!$AO$4:$AU$95,7,FALSE)</f>
        <v>EUROPE</v>
      </c>
      <c r="AK14" s="92">
        <f>SMALL(תוצאות!$AQ$4:$AQ$95,11)</f>
        <v>0.18577075098814233</v>
      </c>
      <c r="AL14" s="100" t="str">
        <f>VLOOKUP(AK14,תוצאות!$AQ$4:$AU$95,5,FALSE)</f>
        <v>HUNGARY</v>
      </c>
      <c r="AM14" s="99"/>
      <c r="AN14" s="92"/>
      <c r="AO14" s="92"/>
      <c r="AP14" s="92"/>
      <c r="AQ14" s="92"/>
      <c r="AR14" s="92"/>
    </row>
    <row r="15" spans="1:44">
      <c r="A15" s="88">
        <f>SMALL(תוצאות!$Y$4:$Y$95,12)</f>
        <v>5.8753691360900584E-2</v>
      </c>
      <c r="B15" s="98" t="str">
        <f>VLOOKUP(A15,תוצאות!$Y$4:$AU$95,23,FALSE)</f>
        <v>FRANCE</v>
      </c>
      <c r="E15" s="88">
        <f>SMALL(תוצאות!$AA$4:$AA$95,12)</f>
        <v>0.18980169971671401</v>
      </c>
      <c r="F15" s="88" t="str">
        <f>VLOOKUP(E15,תוצאות!$AA$4:$AU$95,21,FALSE)</f>
        <v>ARGENTINA</v>
      </c>
      <c r="I15" s="88">
        <f>SMALL(תוצאות!$AC$4:$AC$95,12)</f>
        <v>0.12225614188108724</v>
      </c>
      <c r="J15" s="88" t="str">
        <f>VLOOKUP(I15,תוצאות!$AC$4:$AU$95,19,FALSE)</f>
        <v>ITALY</v>
      </c>
      <c r="M15" s="88">
        <f>SMALL(תוצאות!$AE$4:$AE$95,12)</f>
        <v>0.11268027560234528</v>
      </c>
      <c r="N15" s="88" t="str">
        <f>VLOOKUP(M15,תוצאות!$AE$4:$AU$95,17,FALSE)</f>
        <v>TOTAL CIS</v>
      </c>
      <c r="Q15" s="88">
        <f>SMALL(תוצאות!$AG$4:$AG$95,12)</f>
        <v>0.10375275938189832</v>
      </c>
      <c r="R15" s="97" t="str">
        <f>VLOOKUP(Q15,תוצאות!$AG$4:$AU$95,15,FALSE)</f>
        <v>EGYPT</v>
      </c>
      <c r="U15" s="88">
        <f>SMALL(תוצאות!$AI$4:$AI$95,12)</f>
        <v>0.10317975340687857</v>
      </c>
      <c r="V15" s="88" t="str">
        <f>VLOOKUP(U15,תוצאות!$AI$4:$AU$95,13,FALSE)</f>
        <v>EGYPT</v>
      </c>
      <c r="Y15" s="88">
        <f>SMALL(תוצאות!$AK$4:$AK$95,12)</f>
        <v>0.12497802777289513</v>
      </c>
      <c r="Z15" s="88" t="str">
        <f>VLOOKUP(Y15,תוצאות!$AK$4:$AU$95,11,FALSE)</f>
        <v>OCEANIA</v>
      </c>
      <c r="AA15" s="88">
        <f>SMALL(תוצאות!$AL$4:$AL$95,12)</f>
        <v>0.12703938451501884</v>
      </c>
      <c r="AB15" s="88" t="str">
        <f>VLOOKUP(AA15,תוצאות!$AL$4:$AU$95,10,FALSE)</f>
        <v>AMERICA</v>
      </c>
      <c r="AC15" s="88">
        <f>SMALL(תוצאות!$AM$4:$AM$95,12)</f>
        <v>8.5832471561530621E-2</v>
      </c>
      <c r="AD15" s="88" t="str">
        <f>VLOOKUP(AC15,תוצאות!$AM$4:$AU$95,9,FALSE)</f>
        <v xml:space="preserve">      SWEDEN</v>
      </c>
      <c r="AG15" s="88">
        <f>SMALL(תוצאות!$AO$4:$AO$95,12)</f>
        <v>0.2104043265516351</v>
      </c>
      <c r="AH15" s="88" t="str">
        <f>VLOOKUP(AG15,תוצאות!$AO$4:$AU$95,7,FALSE)</f>
        <v>NORDIC COUNTRIES</v>
      </c>
      <c r="AK15" s="92">
        <f>SMALL(תוצאות!$AQ$4:$AQ$95,12)</f>
        <v>0.19127777490029541</v>
      </c>
      <c r="AL15" s="100" t="str">
        <f>VLOOKUP(AK15,תוצאות!$AQ$4:$AU$95,5,FALSE)</f>
        <v>UNITED STATES</v>
      </c>
      <c r="AM15" s="92"/>
      <c r="AN15" s="92"/>
      <c r="AO15" s="92"/>
      <c r="AP15" s="92"/>
      <c r="AQ15" s="92"/>
      <c r="AR15" s="92"/>
    </row>
    <row r="16" spans="1:44">
      <c r="A16" s="88">
        <f>SMALL(תוצאות!$Y$4:$Y$95,13)</f>
        <v>7.0866141732283339E-2</v>
      </c>
      <c r="B16" s="88" t="str">
        <f>VLOOKUP(A16,תוצאות!$Y$4:$AU$95,23,FALSE)</f>
        <v>OTHER</v>
      </c>
      <c r="E16" s="88">
        <f>SMALL(תוצאות!$AA$4:$AA$95,13)</f>
        <v>0.19344900275660759</v>
      </c>
      <c r="F16" s="88" t="str">
        <f>VLOOKUP(E16,תוצאות!$AA$4:$AU$95,21,FALSE)</f>
        <v>EUROPE</v>
      </c>
      <c r="I16" s="88">
        <f>SMALL(תוצאות!$AC$4:$AC$95,13)</f>
        <v>0.12417625016151956</v>
      </c>
      <c r="J16" s="88" t="str">
        <f>VLOOKUP(I16,תוצאות!$AC$4:$AU$95,19,FALSE)</f>
        <v>MEXICO</v>
      </c>
      <c r="Q16" s="88">
        <f>SMALL(תוצאות!$AG$4:$AG$95,13)</f>
        <v>0.10845428089491915</v>
      </c>
      <c r="R16" s="97" t="str">
        <f>VLOOKUP(Q16,תוצאות!$AG$4:$AU$95,15,FALSE)</f>
        <v>UNITED KINGDOM</v>
      </c>
      <c r="U16" s="88">
        <f>SMALL(תוצאות!$AI$4:$AI$95,13)</f>
        <v>0.1049723756906078</v>
      </c>
      <c r="V16" s="88" t="str">
        <f>VLOOKUP(U16,תוצאות!$AI$4:$AU$95,13,FALSE)</f>
        <v>NORDIC COUNTRIES</v>
      </c>
      <c r="Y16" s="88">
        <f>SMALL(תוצאות!$AK$4:$AK$95,13)</f>
        <v>0.13613308987624251</v>
      </c>
      <c r="Z16" s="88" t="str">
        <f>VLOOKUP(Y16,תוצאות!$AK$4:$AU$95,11,FALSE)</f>
        <v>AUSTRALIA</v>
      </c>
      <c r="AA16" s="88">
        <f>SMALL(תוצאות!$AL$4:$AL$95,13)</f>
        <v>0.12828438948995347</v>
      </c>
      <c r="AB16" s="98" t="str">
        <f>VLOOKUP(AA16,תוצאות!$AL$4:$AU$95,10,FALSE)</f>
        <v>CANADA</v>
      </c>
      <c r="AC16" s="88">
        <f>SMALL(תוצאות!$AM$4:$AM$95,13)</f>
        <v>8.8154269972451571E-2</v>
      </c>
      <c r="AD16" s="88" t="str">
        <f>VLOOKUP(AC16,תוצאות!$AM$4:$AU$95,9,FALSE)</f>
        <v>AMERICA</v>
      </c>
      <c r="AG16" s="88">
        <f>SMALL(תוצאות!$AO$4:$AO$95,13)</f>
        <v>0.21810699588477367</v>
      </c>
      <c r="AH16" s="88" t="str">
        <f>VLOOKUP(AG16,תוצאות!$AO$4:$AU$95,7,FALSE)</f>
        <v>NETHERLANDS</v>
      </c>
      <c r="AK16" s="92">
        <f>SMALL(תוצאות!$AQ$4:$AQ$95,13)</f>
        <v>0.19154764234005084</v>
      </c>
      <c r="AL16" s="100" t="str">
        <f>VLOOKUP(AK16,תוצאות!$AQ$4:$AU$95,5,FALSE)</f>
        <v>AMERICA</v>
      </c>
      <c r="AM16" s="92"/>
      <c r="AN16" s="92"/>
      <c r="AO16" s="92"/>
      <c r="AP16" s="92"/>
      <c r="AQ16" s="92"/>
      <c r="AR16" s="92"/>
    </row>
    <row r="17" spans="1:37">
      <c r="A17" s="88">
        <f>SMALL(תוצאות!$Y$4:$Y$95,14)</f>
        <v>8.7147115553217525E-2</v>
      </c>
      <c r="B17" s="88" t="str">
        <f>VLOOKUP(A17,תוצאות!$Y$4:$AU$95,23,FALSE)</f>
        <v>BRAZIL</v>
      </c>
      <c r="E17" s="88">
        <f>SMALL(תוצאות!$AA$4:$AA$95,14)</f>
        <v>0.19567477646080267</v>
      </c>
      <c r="F17" s="88" t="str">
        <f>VLOOKUP(E17,תוצאות!$AA$4:$AU$95,21,FALSE)</f>
        <v>UKRAINE</v>
      </c>
      <c r="I17" s="88">
        <f>SMALL(תוצאות!$AC$4:$AC$95,14)</f>
        <v>0.15944183551812685</v>
      </c>
      <c r="J17" s="88" t="str">
        <f>VLOOKUP(I17,תוצאות!$AC$4:$AU$95,19,FALSE)</f>
        <v>EUROPE</v>
      </c>
      <c r="Q17" s="88">
        <f>SMALL(תוצאות!$AG$4:$AG$95,14)</f>
        <v>0.10913161926284332</v>
      </c>
      <c r="R17" s="97" t="str">
        <f>VLOOKUP(Q17,תוצאות!$AG$4:$AU$95,15,FALSE)</f>
        <v>TOTAL CIS</v>
      </c>
      <c r="U17" s="88">
        <f>SMALL(תוצאות!$AI$4:$AI$95,14)</f>
        <v>0.12003620319040609</v>
      </c>
      <c r="V17" s="88" t="str">
        <f>VLOOKUP(U17,תוצאות!$AI$4:$AU$95,13,FALSE)</f>
        <v>CENTRAL &amp; SOUTH  AMERICA</v>
      </c>
      <c r="Y17" s="88">
        <f>SMALL(תוצאות!$AK$4:$AK$95,14)</f>
        <v>0.14503816793893143</v>
      </c>
      <c r="Z17" s="88" t="str">
        <f>VLOOKUP(Y17,תוצאות!$AK$4:$AU$95,11,FALSE)</f>
        <v>SOUTH AFRICA</v>
      </c>
      <c r="AA17" s="88">
        <f>SMALL(תוצאות!$AL$4:$AL$95,14)</f>
        <v>0.15172078107999765</v>
      </c>
      <c r="AB17" s="88" t="str">
        <f>VLOOKUP(AA17,תוצאות!$AL$4:$AU$95,10,FALSE)</f>
        <v>UNITED STATES</v>
      </c>
      <c r="AC17" s="88">
        <f>SMALL(תוצאות!$AM$4:$AM$95,14)</f>
        <v>9.3135111499781376E-2</v>
      </c>
      <c r="AD17" s="88" t="str">
        <f>VLOOKUP(AC17,תוצאות!$AM$4:$AU$95,9,FALSE)</f>
        <v>AUSTRIA</v>
      </c>
      <c r="AG17" s="88">
        <f>SMALL(תוצאות!$AO$4:$AO$95,14)</f>
        <v>0.21986639558524557</v>
      </c>
      <c r="AH17" s="88" t="str">
        <f>VLOOKUP(AG17,תוצאות!$AO$4:$AU$95,7,FALSE)</f>
        <v>INDIA</v>
      </c>
      <c r="AK17" s="92"/>
    </row>
    <row r="18" spans="1:37">
      <c r="A18" s="88">
        <f>SMALL(תוצאות!$Y$4:$Y$95,15)</f>
        <v>0.11233638586565653</v>
      </c>
      <c r="B18" s="88" t="str">
        <f>VLOOKUP(A18,תוצאות!$Y$4:$AU$95,23,FALSE)</f>
        <v>ITALY</v>
      </c>
      <c r="E18" s="88">
        <f>SMALL(תוצאות!$AA$4:$AA$95,15)</f>
        <v>0.19705340699815843</v>
      </c>
      <c r="F18" s="88" t="str">
        <f>VLOOKUP(E18,תוצאות!$AA$4:$AU$95,21,FALSE)</f>
        <v>ITALY</v>
      </c>
      <c r="I18" s="88">
        <f>SMALL(תוצאות!$AC$4:$AC$95,15)</f>
        <v>0.18966322826438553</v>
      </c>
      <c r="J18" s="88" t="str">
        <f>VLOOKUP(I18,תוצאות!$AC$4:$AU$95,19,FALSE)</f>
        <v>ASIA -OTHER</v>
      </c>
      <c r="Q18" s="88">
        <f>SMALL(תוצאות!$AG$4:$AG$95,15)</f>
        <v>0.13640570053673873</v>
      </c>
      <c r="R18" s="97" t="str">
        <f>VLOOKUP(Q18,תוצאות!$AG$4:$AU$95,15,FALSE)</f>
        <v>ITALY</v>
      </c>
      <c r="U18" s="88">
        <f>SMALL(תוצאות!$AI$4:$AI$95,15)</f>
        <v>0.14427860696517425</v>
      </c>
      <c r="V18" s="98" t="str">
        <f>VLOOKUP(U18,תוצאות!$AI$4:$AU$95,13,FALSE)</f>
        <v>BELGIUM</v>
      </c>
      <c r="Y18" s="88">
        <f>SMALL(תוצאות!$AK$4:$AK$95,15)</f>
        <v>0.16269809667914314</v>
      </c>
      <c r="Z18" s="88" t="str">
        <f>VLOOKUP(Y18,תוצאות!$AK$4:$AU$95,11,FALSE)</f>
        <v>CANADA</v>
      </c>
      <c r="AC18" s="88">
        <f>SMALL(תוצאות!$AM$4:$AM$95,15)</f>
        <v>9.7909460069183218E-2</v>
      </c>
      <c r="AD18" s="88" t="str">
        <f>VLOOKUP(AC18,תוצאות!$AM$4:$AU$95,9,FALSE)</f>
        <v>CENTRAL &amp; SOUTH  AMERICA</v>
      </c>
      <c r="AG18" s="88">
        <f>SMALL(תוצאות!$AO$4:$AO$95,15)</f>
        <v>0.22269503546099312</v>
      </c>
      <c r="AH18" s="88" t="str">
        <f>VLOOKUP(AG18,תוצאות!$AO$4:$AU$95,7,FALSE)</f>
        <v>AMERICA</v>
      </c>
      <c r="AK18" s="92"/>
    </row>
    <row r="19" spans="1:37">
      <c r="A19" s="88">
        <f>SMALL(תוצאות!$Y$4:$Y$95,16)</f>
        <v>0.11354201727813318</v>
      </c>
      <c r="B19" s="88" t="str">
        <f>VLOOKUP(A19,תוצאות!$Y$4:$AU$95,23,FALSE)</f>
        <v>ASIA -OTHER</v>
      </c>
      <c r="E19" s="88">
        <f>SMALL(תוצאות!$AA$4:$AA$95,16)</f>
        <v>0.20120120120120122</v>
      </c>
      <c r="F19" s="88" t="str">
        <f>VLOOKUP(E19,תוצאות!$AA$4:$AU$95,21,FALSE)</f>
        <v>NETHERLANDS</v>
      </c>
      <c r="I19" s="88">
        <f>SMALL(תוצאות!$AC$4:$AC$95,16)</f>
        <v>0.21083054456951622</v>
      </c>
      <c r="J19" s="88" t="str">
        <f>VLOOKUP(I19,תוצאות!$AC$4:$AU$95,19,FALSE)</f>
        <v>SWITZERLAND</v>
      </c>
      <c r="Q19" s="88">
        <f>SMALL(תוצאות!$AG$4:$AG$95,16)</f>
        <v>0.16849855938533764</v>
      </c>
      <c r="R19" s="97" t="str">
        <f>VLOOKUP(Q19,תוצאות!$AG$4:$AU$95,15,FALSE)</f>
        <v>CANADA</v>
      </c>
      <c r="U19" s="88">
        <f>SMALL(תוצאות!$AI$4:$AI$95,16)</f>
        <v>0.14613180515759305</v>
      </c>
      <c r="V19" s="88" t="str">
        <f>VLOOKUP(U19,תוצאות!$AI$4:$AU$95,13,FALSE)</f>
        <v xml:space="preserve">      DENMARK</v>
      </c>
      <c r="Y19" s="88">
        <f>SMALL(תוצאות!$AK$4:$AK$95,16)</f>
        <v>0.16385212231857582</v>
      </c>
      <c r="Z19" s="88" t="str">
        <f>VLOOKUP(Y19,תוצאות!$AK$4:$AU$95,11,FALSE)</f>
        <v>SPAIN</v>
      </c>
      <c r="AG19" s="88">
        <f>SMALL(תוצאות!$AO$4:$AO$95,16)</f>
        <v>0.22511485451761093</v>
      </c>
      <c r="AH19" s="88" t="str">
        <f>VLOOKUP(AG19,תוצאות!$AO$4:$AU$95,7,FALSE)</f>
        <v>AFRICA</v>
      </c>
      <c r="AK19" s="92"/>
    </row>
    <row r="20" spans="1:37">
      <c r="A20" s="88">
        <f>SMALL(תוצאות!$Y$4:$Y$95,17)</f>
        <v>0.12098956320061838</v>
      </c>
      <c r="B20" s="88" t="str">
        <f>VLOOKUP(A20,תוצאות!$Y$4:$AU$95,23,FALSE)</f>
        <v>OCEANIA</v>
      </c>
      <c r="E20" s="88">
        <f>SMALL(תוצאות!$AA$4:$AA$95,17)</f>
        <v>0.20402441035790853</v>
      </c>
      <c r="F20" s="88" t="str">
        <f>VLOOKUP(E20,תוצאות!$AA$4:$AU$95,21,FALSE)</f>
        <v>FRANCE</v>
      </c>
      <c r="I20" s="88">
        <f>SMALL(תוצאות!$AC$4:$AC$95,17)</f>
        <v>0.21189694250427871</v>
      </c>
      <c r="J20" s="88" t="str">
        <f>VLOOKUP(I20,תוצאות!$AC$4:$AU$95,19,FALSE)</f>
        <v>CENTRAL &amp; SOUTH  AMERICA</v>
      </c>
      <c r="Q20" s="88">
        <f>SMALL(תוצאות!$AG$4:$AG$95,17)</f>
        <v>0.17156707807019855</v>
      </c>
      <c r="R20" s="97" t="str">
        <f>VLOOKUP(Q20,תוצאות!$AG$4:$AU$95,15,FALSE)</f>
        <v>EUROPE</v>
      </c>
      <c r="U20" s="88">
        <f>SMALL(תוצאות!$AI$4:$AI$95,17)</f>
        <v>0.16241524055537626</v>
      </c>
      <c r="V20" s="88" t="str">
        <f>VLOOKUP(U20,תוצאות!$AI$4:$AU$95,13,FALSE)</f>
        <v>OTHER</v>
      </c>
      <c r="Y20" s="88">
        <f>SMALL(תוצאות!$AK$4:$AK$95,17)</f>
        <v>0.1687524119300956</v>
      </c>
      <c r="Z20" s="88" t="str">
        <f>VLOOKUP(Y20,תוצאות!$AK$4:$AU$95,11,FALSE)</f>
        <v>POLAND</v>
      </c>
      <c r="AK20" s="92"/>
    </row>
    <row r="21" spans="1:37">
      <c r="A21" s="88">
        <f>SMALL(תוצאות!$Y$4:$Y$95,18)</f>
        <v>0.12458582923923167</v>
      </c>
      <c r="B21" s="88" t="str">
        <f>VLOOKUP(A21,תוצאות!$Y$4:$AU$95,23,FALSE)</f>
        <v>UKRAINE</v>
      </c>
      <c r="E21" s="88">
        <f>SMALL(תוצאות!$AA$4:$AA$95,18)</f>
        <v>0.22365737593473822</v>
      </c>
      <c r="F21" s="88" t="str">
        <f>VLOOKUP(E21,תוצאות!$AA$4:$AU$95,21,FALSE)</f>
        <v>SWITZERLAND</v>
      </c>
      <c r="I21" s="88">
        <f>SMALL(תוצאות!$AC$4:$AC$95,18)</f>
        <v>0.21260223766023234</v>
      </c>
      <c r="J21" s="88" t="str">
        <f>VLOOKUP(I21,תוצאות!$AC$4:$AU$95,19,FALSE)</f>
        <v>AMERICA</v>
      </c>
      <c r="Q21" s="88">
        <f>SMALL(תוצאות!$AG$4:$AG$95,18)</f>
        <v>0.17474302496328931</v>
      </c>
      <c r="R21" s="97" t="str">
        <f>VLOOKUP(Q21,תוצאות!$AG$4:$AU$95,15,FALSE)</f>
        <v>BELARUS</v>
      </c>
      <c r="U21" s="88">
        <f>SMALL(תוצאות!$AI$4:$AI$95,18)</f>
        <v>0.17459388430795353</v>
      </c>
      <c r="V21" s="88" t="str">
        <f>VLOOKUP(U21,תוצאות!$AI$4:$AU$95,13,FALSE)</f>
        <v>EUROPE</v>
      </c>
      <c r="Y21" s="88">
        <f>SMALL(תוצאות!$AK$4:$AK$95,18)</f>
        <v>0.17006391751989747</v>
      </c>
      <c r="Z21" s="88" t="str">
        <f>VLOOKUP(Y21,תוצאות!$AK$4:$AU$95,11,FALSE)</f>
        <v>EUROPE</v>
      </c>
      <c r="AK21" s="92"/>
    </row>
    <row r="22" spans="1:37">
      <c r="A22" s="88">
        <f>SMALL(תוצאות!$Y$4:$Y$95,19)</f>
        <v>0.13255298956026573</v>
      </c>
      <c r="B22" s="88" t="str">
        <f>VLOOKUP(A22,תוצאות!$Y$4:$AU$95,23,FALSE)</f>
        <v>AUSTRALIA</v>
      </c>
      <c r="E22" s="88">
        <f>SMALL(תוצאות!$AA$4:$AA$95,19)</f>
        <v>0.23042505592841178</v>
      </c>
      <c r="F22" s="88" t="str">
        <f>VLOOKUP(E22,תוצאות!$AA$4:$AU$95,21,FALSE)</f>
        <v>AFRICA</v>
      </c>
      <c r="I22" s="88">
        <f>SMALL(תוצאות!$AC$4:$AC$95,19)</f>
        <v>0.22472559214326959</v>
      </c>
      <c r="J22" s="88" t="str">
        <f>VLOOKUP(I22,תוצאות!$AC$4:$AU$95,19,FALSE)</f>
        <v>CANADA</v>
      </c>
      <c r="Q22" s="88">
        <f>SMALL(תוצאות!$AG$4:$AG$95,19)</f>
        <v>0.17571611799914488</v>
      </c>
      <c r="R22" s="97" t="str">
        <f>VLOOKUP(Q22,תוצאות!$AG$4:$AU$95,15,FALSE)</f>
        <v>CENTRAL &amp; SOUTH  AMERICA</v>
      </c>
      <c r="U22" s="88">
        <f>SMALL(תוצאות!$AI$4:$AI$95,19)</f>
        <v>0.1802748585286984</v>
      </c>
      <c r="V22" s="88" t="str">
        <f>VLOOKUP(U22,תוצאות!$AI$4:$AU$95,13,FALSE)</f>
        <v>CANADA</v>
      </c>
      <c r="Y22" s="88">
        <f>SMALL(תוצאות!$AK$4:$AK$95,19)</f>
        <v>0.1713133438541119</v>
      </c>
      <c r="Z22" s="88" t="str">
        <f>VLOOKUP(Y22,תוצאות!$AK$4:$AU$95,11,FALSE)</f>
        <v>AMERICA</v>
      </c>
      <c r="AK22" s="92"/>
    </row>
    <row r="23" spans="1:37">
      <c r="I23" s="88">
        <f>SMALL(תוצאות!$AC$4:$AC$95,20)</f>
        <v>0.23052188968587695</v>
      </c>
      <c r="J23" s="88" t="str">
        <f>VLOOKUP(I23,תוצאות!$AC$4:$AU$95,19,FALSE)</f>
        <v>TOTAL</v>
      </c>
      <c r="Q23" s="88">
        <f>SMALL(תוצאות!$AG$4:$AG$95,20)</f>
        <v>0.18263185630308043</v>
      </c>
      <c r="R23" s="97" t="str">
        <f>VLOOKUP(Q23,תוצאות!$AG$4:$AU$95,15,FALSE)</f>
        <v>AMERICA</v>
      </c>
      <c r="U23" s="88">
        <f>SMALL(תוצאות!$AI$4:$AI$95,20)</f>
        <v>0.20216389501101983</v>
      </c>
      <c r="V23" s="88" t="str">
        <f>VLOOKUP(U23,תוצאות!$AI$4:$AU$95,13,FALSE)</f>
        <v>SWITZERLAND</v>
      </c>
    </row>
    <row r="24" spans="1:37">
      <c r="Q24" s="88">
        <f>SMALL(תוצאות!$AG$4:$AG$95,21)</f>
        <v>0.19425265907818634</v>
      </c>
      <c r="R24" s="97" t="str">
        <f>VLOOKUP(Q24,תוצאות!$AG$4:$AU$95,15,FALSE)</f>
        <v>SOUTH AFRICA</v>
      </c>
      <c r="U24" s="88">
        <f>SMALL(תוצאות!$AI$4:$AI$95,21)</f>
        <v>0.20890601468054215</v>
      </c>
      <c r="V24" s="88" t="str">
        <f>VLOOKUP(U24,תוצאות!$AI$4:$AU$95,13,FALSE)</f>
        <v>AMERICA</v>
      </c>
    </row>
    <row r="25" spans="1:37">
      <c r="Q25" s="88">
        <f>SMALL(תוצאות!$AG$4:$AG$95,22)</f>
        <v>0.21128222875930103</v>
      </c>
      <c r="R25" s="97" t="str">
        <f>VLOOKUP(Q25,תוצאות!$AG$4:$AU$95,15,FALSE)</f>
        <v>OTHER</v>
      </c>
      <c r="U25" s="88">
        <f>SMALL(תוצאות!$AI$4:$AI$95,22)</f>
        <v>0.20927107826671132</v>
      </c>
      <c r="V25" s="88" t="str">
        <f>VLOOKUP(U25,תוצאות!$AI$4:$AU$95,13,FALSE)</f>
        <v>TOTAL</v>
      </c>
    </row>
    <row r="26" spans="1:37">
      <c r="Q26" s="88">
        <f>SMALL(תוצאות!$AG$4:$AG$95,23)</f>
        <v>0.2284749818399352</v>
      </c>
      <c r="R26" s="97" t="str">
        <f>VLOOKUP(Q26,תוצאות!$AG$4:$AU$95,15,FALSE)</f>
        <v>UNITED STATES</v>
      </c>
      <c r="U26" s="88">
        <f>SMALL(תוצאות!$AI$4:$AI$95,23)</f>
        <v>0.21613551224279259</v>
      </c>
      <c r="V26" s="88" t="str">
        <f>VLOOKUP(U26,תוצאות!$AI$4:$AU$95,13,FALSE)</f>
        <v>UNITED KINGDOM</v>
      </c>
    </row>
    <row r="27" spans="1:37">
      <c r="U27" s="88">
        <f>SMALL(תוצאות!$AI$4:$AI$95,24)</f>
        <v>0.22815304676428916</v>
      </c>
      <c r="V27" s="88" t="str">
        <f>VLOOKUP(U27,תוצאות!$AI$4:$AU$95,13,FALSE)</f>
        <v>GREECE</v>
      </c>
    </row>
    <row r="28" spans="1:37">
      <c r="U28" s="88">
        <f>SMALL(תוצאות!$AI$4:$AI$95,25)</f>
        <v>0.23091722037159079</v>
      </c>
      <c r="V28" s="88" t="str">
        <f>VLOOKUP(U28,תוצאות!$AI$4:$AU$95,13,FALSE)</f>
        <v>UNITED STATES</v>
      </c>
    </row>
    <row r="29" spans="1:37">
      <c r="U29" s="88">
        <f>SMALL(תוצאות!$AI$4:$AI$95,26)</f>
        <v>0.23188405797101463</v>
      </c>
      <c r="V29" s="88" t="str">
        <f>VLOOKUP(U29,תוצאות!$AI$4:$AU$95,13,FALSE)</f>
        <v xml:space="preserve">      FINLAND</v>
      </c>
    </row>
    <row r="30" spans="1:37">
      <c r="U30" s="88">
        <f>SMALL(תוצאות!$AI$4:$AI$95,27)</f>
        <v>0.24703087885985764</v>
      </c>
      <c r="V30" s="88" t="str">
        <f>VLOOKUP(U30,תוצאות!$AI$4:$AU$95,13,FALSE)</f>
        <v>PHILIPPINES</v>
      </c>
    </row>
    <row r="31" spans="1:37">
      <c r="U31" s="88">
        <f>SMALL(תוצאות!$AI$4:$AI$95,28)</f>
        <v>0.28008192524321562</v>
      </c>
      <c r="V31" s="88" t="str">
        <f>VLOOKUP(U31,תוצאות!$AI$4:$AU$95,13,FALSE)</f>
        <v>SOUTH AFRICA</v>
      </c>
    </row>
    <row r="33" spans="1:48" ht="15.75" thickBot="1"/>
    <row r="34" spans="1:48">
      <c r="A34" s="366" t="s">
        <v>122</v>
      </c>
      <c r="B34" s="360"/>
      <c r="C34" s="360"/>
      <c r="D34" s="360"/>
      <c r="E34" s="360"/>
      <c r="F34" s="360"/>
      <c r="G34" s="360"/>
      <c r="H34" s="361"/>
      <c r="I34" s="366" t="s">
        <v>121</v>
      </c>
      <c r="J34" s="360"/>
      <c r="K34" s="360"/>
      <c r="L34" s="360"/>
      <c r="M34" s="360"/>
      <c r="N34" s="360"/>
      <c r="O34" s="360"/>
      <c r="P34" s="361"/>
      <c r="Q34" s="366" t="s">
        <v>120</v>
      </c>
      <c r="R34" s="360"/>
      <c r="S34" s="360"/>
      <c r="T34" s="360"/>
      <c r="U34" s="360"/>
      <c r="V34" s="360"/>
      <c r="W34" s="360"/>
      <c r="X34" s="361"/>
      <c r="Y34" s="366" t="s">
        <v>119</v>
      </c>
      <c r="Z34" s="360"/>
      <c r="AA34" s="360"/>
      <c r="AB34" s="360"/>
      <c r="AC34" s="360"/>
      <c r="AD34" s="360"/>
      <c r="AE34" s="360"/>
      <c r="AF34" s="361"/>
      <c r="AG34" s="366" t="s">
        <v>118</v>
      </c>
      <c r="AH34" s="360"/>
      <c r="AI34" s="360"/>
      <c r="AJ34" s="360"/>
      <c r="AK34" s="360"/>
      <c r="AL34" s="360"/>
      <c r="AM34" s="360"/>
      <c r="AN34" s="361"/>
      <c r="AO34" s="366" t="s">
        <v>117</v>
      </c>
      <c r="AP34" s="360"/>
      <c r="AQ34" s="360"/>
      <c r="AR34" s="360"/>
      <c r="AS34" s="360"/>
      <c r="AT34" s="360"/>
      <c r="AU34" s="360"/>
      <c r="AV34" s="361"/>
    </row>
    <row r="35" spans="1:48">
      <c r="A35" s="371" t="s">
        <v>111</v>
      </c>
      <c r="B35" s="371"/>
      <c r="C35" s="371"/>
      <c r="D35" s="371"/>
      <c r="E35" s="371" t="s">
        <v>126</v>
      </c>
      <c r="F35" s="371"/>
      <c r="G35" s="371"/>
      <c r="H35" s="371"/>
      <c r="I35" s="371" t="s">
        <v>111</v>
      </c>
      <c r="J35" s="371"/>
      <c r="K35" s="371"/>
      <c r="L35" s="371"/>
      <c r="M35" s="371" t="s">
        <v>126</v>
      </c>
      <c r="N35" s="371"/>
      <c r="O35" s="371"/>
      <c r="P35" s="371"/>
      <c r="Q35" s="371" t="s">
        <v>111</v>
      </c>
      <c r="R35" s="371"/>
      <c r="S35" s="371"/>
      <c r="T35" s="371"/>
      <c r="U35" s="371" t="s">
        <v>126</v>
      </c>
      <c r="V35" s="371"/>
      <c r="W35" s="371"/>
      <c r="X35" s="371"/>
      <c r="Y35" s="371" t="s">
        <v>111</v>
      </c>
      <c r="Z35" s="371"/>
      <c r="AA35" s="371"/>
      <c r="AB35" s="371"/>
      <c r="AC35" s="371" t="s">
        <v>126</v>
      </c>
      <c r="AD35" s="371"/>
      <c r="AE35" s="371"/>
      <c r="AF35" s="371"/>
      <c r="AG35" s="371" t="s">
        <v>111</v>
      </c>
      <c r="AH35" s="371"/>
      <c r="AI35" s="371"/>
      <c r="AJ35" s="371"/>
      <c r="AK35" s="371" t="s">
        <v>126</v>
      </c>
      <c r="AL35" s="371"/>
      <c r="AM35" s="371"/>
      <c r="AN35" s="371"/>
      <c r="AO35" s="371" t="s">
        <v>111</v>
      </c>
      <c r="AP35" s="371"/>
      <c r="AQ35" s="371"/>
      <c r="AR35" s="371"/>
      <c r="AS35" s="371" t="s">
        <v>126</v>
      </c>
      <c r="AT35" s="371"/>
      <c r="AU35" s="371"/>
      <c r="AV35" s="371"/>
    </row>
    <row r="36" spans="1:48" ht="15.75" thickBot="1">
      <c r="A36" s="358" t="s">
        <v>83</v>
      </c>
      <c r="B36" s="358"/>
      <c r="C36" s="358" t="s">
        <v>82</v>
      </c>
      <c r="D36" s="358"/>
      <c r="E36" s="358" t="s">
        <v>83</v>
      </c>
      <c r="F36" s="358"/>
      <c r="G36" s="358" t="s">
        <v>82</v>
      </c>
      <c r="H36" s="358"/>
      <c r="I36" s="358" t="s">
        <v>83</v>
      </c>
      <c r="J36" s="358"/>
      <c r="K36" s="358" t="s">
        <v>82</v>
      </c>
      <c r="L36" s="358"/>
      <c r="M36" s="358" t="s">
        <v>83</v>
      </c>
      <c r="N36" s="358"/>
      <c r="O36" s="358" t="s">
        <v>82</v>
      </c>
      <c r="P36" s="358"/>
      <c r="Q36" s="358" t="s">
        <v>83</v>
      </c>
      <c r="R36" s="358"/>
      <c r="S36" s="358" t="s">
        <v>82</v>
      </c>
      <c r="T36" s="358"/>
      <c r="U36" s="358" t="s">
        <v>83</v>
      </c>
      <c r="V36" s="358"/>
      <c r="W36" s="358" t="s">
        <v>82</v>
      </c>
      <c r="X36" s="358"/>
      <c r="Y36" s="358" t="s">
        <v>83</v>
      </c>
      <c r="Z36" s="358"/>
      <c r="AA36" s="358" t="s">
        <v>82</v>
      </c>
      <c r="AB36" s="358"/>
      <c r="AC36" s="358" t="s">
        <v>83</v>
      </c>
      <c r="AD36" s="358"/>
      <c r="AE36" s="358" t="s">
        <v>82</v>
      </c>
      <c r="AF36" s="358"/>
      <c r="AG36" s="358" t="s">
        <v>83</v>
      </c>
      <c r="AH36" s="358"/>
      <c r="AI36" s="358" t="s">
        <v>82</v>
      </c>
      <c r="AJ36" s="358"/>
      <c r="AK36" s="358" t="s">
        <v>83</v>
      </c>
      <c r="AL36" s="358"/>
      <c r="AM36" s="358" t="s">
        <v>82</v>
      </c>
      <c r="AN36" s="358"/>
      <c r="AO36" s="358" t="s">
        <v>83</v>
      </c>
      <c r="AP36" s="358"/>
      <c r="AQ36" s="358" t="s">
        <v>82</v>
      </c>
      <c r="AR36" s="358"/>
      <c r="AS36" s="358" t="s">
        <v>83</v>
      </c>
      <c r="AT36" s="358"/>
      <c r="AU36" s="358" t="s">
        <v>82</v>
      </c>
      <c r="AV36" s="358"/>
    </row>
    <row r="37" spans="1:48">
      <c r="AG37" s="88">
        <f>SMALL(תוצאות!$Q$4:$Q$95,1)</f>
        <v>-5.0982123151621983E-2</v>
      </c>
      <c r="AH37" s="88" t="e">
        <f>VLOOKUP(AG37,תוצאות!$Q$4:$AU$95,32,FALSE)</f>
        <v>#REF!</v>
      </c>
      <c r="AI37" s="88">
        <f>SMALL(תוצאות!$R$4:$R$95,1)</f>
        <v>-3.8246477298143455E-2</v>
      </c>
      <c r="AJ37" s="88" t="str">
        <f>VLOOKUP(AI37,תוצאות!$R$4:$AU$95,30,FALSE)</f>
        <v>OTHER</v>
      </c>
      <c r="AK37" s="88">
        <f>SMALL(תוצאות!$S$4:$S$95,1)</f>
        <v>-0.17985885943162316</v>
      </c>
      <c r="AL37" s="88" t="str">
        <f>VLOOKUP(AK37,תוצאות!$S$4:$AU$95,29,FALSE)</f>
        <v>AFRICA</v>
      </c>
      <c r="AM37" s="88">
        <f>SMALL(תוצאות!$T$4:$T$95,1)</f>
        <v>-5.5564300330552485E-2</v>
      </c>
      <c r="AN37" s="88" t="str">
        <f>VLOOKUP(AM37,תוצאות!$T$4:$AU$95,28,FALSE)</f>
        <v>ASIA -OTHER</v>
      </c>
      <c r="AO37" s="88">
        <f>SMALL(תוצאות!$U$4:$U$95,1)</f>
        <v>-0.34603533924416774</v>
      </c>
      <c r="AP37" s="88" t="str">
        <f>VLOOKUP(AO37,תוצאות!$U$4:$AU$95,27,FALSE)</f>
        <v>JORDAN</v>
      </c>
      <c r="AQ37" s="88">
        <f>SMALL(תוצאות!$V$4:$V$95,1)</f>
        <v>-5.8226931087566713E-2</v>
      </c>
      <c r="AR37" s="88" t="str">
        <f>VLOOKUP(AQ37,תוצאות!$V$4:$AU$95,26,FALSE)</f>
        <v>JORDAN</v>
      </c>
      <c r="AS37" s="88">
        <f>SMALL(תוצאות!$W$4:$W$95,1)</f>
        <v>-0.2896174863387978</v>
      </c>
      <c r="AT37" s="88" t="str">
        <f>VLOOKUP(AS37,תוצאות!$W$4:$AU$95,25,FALSE)</f>
        <v>JORDAN</v>
      </c>
      <c r="AU37" s="88">
        <f>SMALL(תוצאות!$X$4:$X$95,1)</f>
        <v>-0.23439340400471143</v>
      </c>
      <c r="AV37" s="88" t="str">
        <f>VLOOKUP(AU37,תוצאות!$X$4:$AU$95,24,FALSE)</f>
        <v>JORDAN</v>
      </c>
    </row>
    <row r="38" spans="1:48">
      <c r="AG38" s="88">
        <f>SMALL(תוצאות!$Q$4:$Q$95,2)</f>
        <v>-9.0480387616586055E-3</v>
      </c>
      <c r="AH38" s="88" t="e">
        <f>VLOOKUP(AG38,תוצאות!$Q$4:$AU$95,32,FALSE)</f>
        <v>#REF!</v>
      </c>
      <c r="AI38" s="88">
        <f>SMALL(תוצאות!$R$4:$R$95,2)</f>
        <v>5.5506643188730553E-2</v>
      </c>
      <c r="AJ38" s="88" t="str">
        <f>VLOOKUP(AI38,תוצאות!$R$4:$AU$95,30,FALSE)</f>
        <v>FRANCE</v>
      </c>
      <c r="AK38" s="88">
        <f>SMALL(תוצאות!$S$4:$S$95,2)</f>
        <v>-0.14421553090332795</v>
      </c>
      <c r="AL38" s="88" t="str">
        <f>VLOOKUP(AK38,תוצאות!$S$4:$AU$95,29,FALSE)</f>
        <v>NORDIC COUNTRIES</v>
      </c>
      <c r="AM38" s="88">
        <f>SMALL(תוצאות!$T$4:$T$95,2)</f>
        <v>-8.3737329219921719E-3</v>
      </c>
      <c r="AN38" s="88" t="str">
        <f>VLOOKUP(AM38,תוצאות!$T$4:$AU$95,28,FALSE)</f>
        <v>UKRAINE</v>
      </c>
      <c r="AO38" s="88">
        <f>SMALL(תוצאות!$U$4:$U$95,2)</f>
        <v>-0.19178629325940366</v>
      </c>
      <c r="AP38" s="88" t="str">
        <f>VLOOKUP(AO38,תוצאות!$U$4:$AU$95,27,FALSE)</f>
        <v>FRANCE</v>
      </c>
      <c r="AQ38" s="88">
        <f>SMALL(תוצאות!$V$4:$V$95,2)</f>
        <v>4.8752834467120199E-2</v>
      </c>
      <c r="AR38" s="88" t="str">
        <f>VLOOKUP(AQ38,תוצאות!$V$4:$AU$95,26,FALSE)</f>
        <v xml:space="preserve">      DENMARK</v>
      </c>
      <c r="AS38" s="88">
        <f>SMALL(תוצאות!$W$4:$W$95,2)</f>
        <v>-0.18181579016600458</v>
      </c>
      <c r="AT38" s="88" t="str">
        <f>VLOOKUP(AS38,תוצאות!$W$4:$AU$95,25,FALSE)</f>
        <v>FRANCE</v>
      </c>
      <c r="AU38" s="88">
        <f>SMALL(תוצאות!$X$4:$X$95,2)</f>
        <v>-8.861469433538971E-2</v>
      </c>
      <c r="AV38" s="88" t="str">
        <f>VLOOKUP(AU38,תוצאות!$X$4:$AU$95,24,FALSE)</f>
        <v>ASIA -OTHER</v>
      </c>
    </row>
    <row r="39" spans="1:48">
      <c r="AG39" s="88">
        <f>SMALL(תוצאות!$Q$4:$Q$95,3)</f>
        <v>-8.5285341728731368E-3</v>
      </c>
      <c r="AH39" s="88" t="e">
        <f>VLOOKUP(AG39,תוצאות!$Q$4:$AU$95,32,FALSE)</f>
        <v>#REF!</v>
      </c>
      <c r="AI39" s="88">
        <f>SMALL(תוצאות!$R$4:$R$95,3)</f>
        <v>7.791108266049962E-2</v>
      </c>
      <c r="AJ39" s="88" t="str">
        <f>VLOOKUP(AI39,תוצאות!$R$4:$AU$95,30,FALSE)</f>
        <v>ASIA -OTHER</v>
      </c>
      <c r="AK39" s="88">
        <f>SMALL(תוצאות!$S$4:$S$95,3)</f>
        <v>-8.9125560538116599E-2</v>
      </c>
      <c r="AL39" s="88" t="str">
        <f>VLOOKUP(AK39,תוצאות!$S$4:$AU$95,29,FALSE)</f>
        <v>FRANCE</v>
      </c>
      <c r="AM39" s="88">
        <f>SMALL(תוצאות!$T$4:$T$95,3)</f>
        <v>5.1308363263213863E-4</v>
      </c>
      <c r="AN39" s="88" t="str">
        <f>VLOOKUP(AM39,תוצאות!$T$4:$AU$95,28,FALSE)</f>
        <v>FRANCE</v>
      </c>
      <c r="AO39" s="88">
        <f>SMALL(תוצאות!$U$4:$U$95,3)</f>
        <v>-0.14365067119271724</v>
      </c>
      <c r="AP39" s="88" t="str">
        <f>VLOOKUP(AO39,תוצאות!$U$4:$AU$95,27,FALSE)</f>
        <v xml:space="preserve">      DENMARK</v>
      </c>
      <c r="AQ39" s="88">
        <f>SMALL(תוצאות!$V$4:$V$95,3)</f>
        <v>5.9730250481695668E-2</v>
      </c>
      <c r="AR39" s="88" t="str">
        <f>VLOOKUP(AQ39,תוצאות!$V$4:$AU$95,26,FALSE)</f>
        <v>BELARUS</v>
      </c>
      <c r="AS39" s="88">
        <f>SMALL(תוצאות!$W$4:$W$95,3)</f>
        <v>-0.15929203539823</v>
      </c>
      <c r="AT39" s="88" t="str">
        <f>VLOOKUP(AS39,תוצאות!$W$4:$AU$95,25,FALSE)</f>
        <v xml:space="preserve">      DENMARK</v>
      </c>
      <c r="AU39" s="88">
        <f>SMALL(תוצאות!$X$4:$X$95,3)</f>
        <v>-1.1505943678087771E-2</v>
      </c>
      <c r="AV39" s="88" t="str">
        <f>VLOOKUP(AU39,תוצאות!$X$4:$AU$95,24,FALSE)</f>
        <v>FRANCE</v>
      </c>
    </row>
    <row r="40" spans="1:48">
      <c r="AG40" s="88">
        <f>SMALL(תוצאות!$Q$4:$Q$95,4)</f>
        <v>1.6564556387565377E-2</v>
      </c>
      <c r="AH40" s="88" t="e">
        <f>VLOOKUP(AG40,תוצאות!$Q$4:$AU$95,32,FALSE)</f>
        <v>#REF!</v>
      </c>
      <c r="AI40" s="88">
        <f>SMALL(תוצאות!$R$4:$R$95,4)</f>
        <v>8.8929219600726084E-2</v>
      </c>
      <c r="AJ40" s="88" t="str">
        <f>VLOOKUP(AI40,תוצאות!$R$4:$AU$95,30,FALSE)</f>
        <v>BELARUS</v>
      </c>
      <c r="AK40" s="88">
        <f>SMALL(תוצאות!$S$4:$S$95,4)</f>
        <v>-6.6002490660024948E-2</v>
      </c>
      <c r="AL40" s="88" t="str">
        <f>VLOOKUP(AK40,תוצאות!$S$4:$AU$95,29,FALSE)</f>
        <v>ASIA -OTHER</v>
      </c>
      <c r="AM40" s="88">
        <f>SMALL(תוצאות!$T$4:$T$95,4)</f>
        <v>4.2238069116840249E-2</v>
      </c>
      <c r="AN40" s="88" t="str">
        <f>VLOOKUP(AM40,תוצאות!$T$4:$AU$95,28,FALSE)</f>
        <v>OTHER</v>
      </c>
      <c r="AO40" s="88">
        <f>SMALL(תוצאות!$U$4:$U$95,4)</f>
        <v>-0.10067374774048021</v>
      </c>
      <c r="AP40" s="88" t="str">
        <f>VLOOKUP(AO40,תוצאות!$U$4:$AU$95,27,FALSE)</f>
        <v>RUSSIA</v>
      </c>
      <c r="AQ40" s="88">
        <f>SMALL(תוצאות!$V$4:$V$95,4)</f>
        <v>6.8827521065844666E-2</v>
      </c>
      <c r="AR40" s="88" t="str">
        <f>VLOOKUP(AQ40,תוצאות!$V$4:$AU$95,26,FALSE)</f>
        <v>FRANCE</v>
      </c>
      <c r="AS40" s="88">
        <f>SMALL(תוצאות!$W$4:$W$95,4)</f>
        <v>-7.4733096085409345E-2</v>
      </c>
      <c r="AT40" s="88" t="str">
        <f>VLOOKUP(AS40,תוצאות!$W$4:$AU$95,25,FALSE)</f>
        <v>ASIA -OTHER</v>
      </c>
      <c r="AU40" s="88">
        <f>SMALL(תוצאות!$X$4:$X$95,4)</f>
        <v>-5.8479532163743242E-3</v>
      </c>
      <c r="AV40" s="88" t="str">
        <f>VLOOKUP(AU40,תוצאות!$X$4:$AU$95,24,FALSE)</f>
        <v>SWITZERLAND</v>
      </c>
    </row>
    <row r="41" spans="1:48">
      <c r="AG41" s="88">
        <f>SMALL(תוצאות!$Q$4:$Q$95,5)</f>
        <v>5.3441723988647771E-2</v>
      </c>
      <c r="AH41" s="88" t="e">
        <f>VLOOKUP(AG41,תוצאות!$Q$4:$AU$95,32,FALSE)</f>
        <v>#REF!</v>
      </c>
      <c r="AI41" s="88">
        <f>SMALL(תוצאות!$R$4:$R$95,5)</f>
        <v>9.0239758353785282E-2</v>
      </c>
      <c r="AJ41" s="88" t="str">
        <f>VLOOKUP(AI41,תוצאות!$R$4:$AU$95,30,FALSE)</f>
        <v>BELGIUM</v>
      </c>
      <c r="AK41" s="88">
        <f>SMALL(תוצאות!$S$4:$S$95,5)</f>
        <v>-1.1124845488257096E-2</v>
      </c>
      <c r="AL41" s="88" t="str">
        <f>VLOOKUP(AK41,תוצאות!$S$4:$AU$95,29,FALSE)</f>
        <v>RUSSIA</v>
      </c>
      <c r="AM41" s="88">
        <f>SMALL(תוצאות!$T$4:$T$95,5)</f>
        <v>9.9633455514828384E-2</v>
      </c>
      <c r="AN41" s="88" t="str">
        <f>VLOOKUP(AM41,תוצאות!$T$4:$AU$95,28,FALSE)</f>
        <v>NETHERLANDS</v>
      </c>
      <c r="AO41" s="88">
        <f>SMALL(תוצאות!$U$4:$U$95,5)</f>
        <v>-9.5913261050875831E-2</v>
      </c>
      <c r="AP41" s="88" t="str">
        <f>VLOOKUP(AO41,תוצאות!$U$4:$AU$95,27,FALSE)</f>
        <v>ITALY</v>
      </c>
      <c r="AQ41" s="88">
        <f>SMALL(תוצאות!$V$4:$V$95,5)</f>
        <v>7.4761455384292796E-2</v>
      </c>
      <c r="AR41" s="88" t="str">
        <f>VLOOKUP(AQ41,תוצאות!$V$4:$AU$95,26,FALSE)</f>
        <v>BELGIUM</v>
      </c>
      <c r="AS41" s="88">
        <f>SMALL(תוצאות!$W$4:$W$95,5)</f>
        <v>-5.6900345803206576E-2</v>
      </c>
      <c r="AT41" s="88" t="str">
        <f>VLOOKUP(AS41,תוצאות!$W$4:$AU$95,25,FALSE)</f>
        <v>BELGIUM</v>
      </c>
      <c r="AU41" s="88">
        <f>SMALL(תוצאות!$X$4:$X$95,5)</f>
        <v>1.7639077340569909E-2</v>
      </c>
      <c r="AV41" s="88" t="str">
        <f>VLOOKUP(AU41,תוצאות!$X$4:$AU$95,24,FALSE)</f>
        <v>UKRAINE</v>
      </c>
    </row>
    <row r="42" spans="1:48">
      <c r="AG42" s="88">
        <f>SMALL(תוצאות!$Q$4:$Q$95,6)</f>
        <v>5.4168758271345929E-2</v>
      </c>
      <c r="AH42" s="88" t="e">
        <f>VLOOKUP(AG42,תוצאות!$Q$4:$AU$95,32,FALSE)</f>
        <v>#REF!</v>
      </c>
      <c r="AI42" s="88">
        <f>SMALL(תוצאות!$R$4:$R$95,6)</f>
        <v>0.10199316293876048</v>
      </c>
      <c r="AJ42" s="88" t="str">
        <f>VLOOKUP(AI42,תוצאות!$R$4:$AU$95,30,FALSE)</f>
        <v>UNITED KINGDOM</v>
      </c>
      <c r="AK42" s="88">
        <f>SMALL(תוצאות!$S$4:$S$95,6)</f>
        <v>6.4701653486698429E-3</v>
      </c>
      <c r="AL42" s="88" t="str">
        <f>VLOOKUP(AK42,תוצאות!$S$4:$AU$95,29,FALSE)</f>
        <v>ITALY</v>
      </c>
      <c r="AM42" s="88">
        <f>SMALL(תוצאות!$T$4:$T$95,6)</f>
        <v>0.12297011680995262</v>
      </c>
      <c r="AN42" s="88" t="str">
        <f>VLOOKUP(AM42,תוצאות!$T$4:$AU$95,28,FALSE)</f>
        <v>EUROPE</v>
      </c>
      <c r="AO42" s="88">
        <f>SMALL(תוצאות!$U$4:$U$95,6)</f>
        <v>-6.4482270798156383E-2</v>
      </c>
      <c r="AP42" s="88" t="str">
        <f>VLOOKUP(AO42,תוצאות!$U$4:$AU$95,27,FALSE)</f>
        <v>BELGIUM</v>
      </c>
      <c r="AQ42" s="88">
        <f>SMALL(תוצאות!$V$4:$V$95,6)</f>
        <v>9.2114034743735473E-2</v>
      </c>
      <c r="AR42" s="88" t="str">
        <f>VLOOKUP(AQ42,תוצאות!$V$4:$AU$95,26,FALSE)</f>
        <v>UNITED KINGDOM</v>
      </c>
      <c r="AS42" s="88">
        <f>SMALL(תוצאות!$W$4:$W$95,6)</f>
        <v>-1.403109594235874E-2</v>
      </c>
      <c r="AT42" s="88" t="str">
        <f>VLOOKUP(AS42,תוצאות!$W$4:$AU$95,25,FALSE)</f>
        <v>ITALY</v>
      </c>
      <c r="AU42" s="88">
        <f>SMALL(תוצאות!$X$4:$X$95,6)</f>
        <v>2.1102791014295352E-2</v>
      </c>
      <c r="AV42" s="98" t="str">
        <f>VLOOKUP(AU42,תוצאות!$X$4:$AU$95,24,FALSE)</f>
        <v>BELGIUM</v>
      </c>
    </row>
    <row r="43" spans="1:48">
      <c r="AG43" s="88">
        <f>SMALL(תוצאות!$Q$4:$Q$95,7)</f>
        <v>9.0909090909090606E-2</v>
      </c>
      <c r="AH43" s="88" t="e">
        <f>VLOOKUP(AG43,תוצאות!$Q$4:$AU$95,32,FALSE)</f>
        <v>#REF!</v>
      </c>
      <c r="AI43" s="88">
        <f>SMALL(תוצאות!$R$4:$R$95,7)</f>
        <v>0.10661001877284848</v>
      </c>
      <c r="AJ43" s="88" t="str">
        <f>VLOOKUP(AI43,תוצאות!$R$4:$AU$95,30,FALSE)</f>
        <v>NORDIC COUNTRIES</v>
      </c>
      <c r="AK43" s="88">
        <f>SMALL(תוצאות!$S$4:$S$95,7)</f>
        <v>1.1522561351042349E-2</v>
      </c>
      <c r="AL43" s="88" t="str">
        <f>VLOOKUP(AK43,תוצאות!$S$4:$AU$95,29,FALSE)</f>
        <v>GERMANY</v>
      </c>
      <c r="AM43" s="88">
        <f>SMALL(תוצאות!$T$4:$T$95,7)</f>
        <v>0.13068630028924533</v>
      </c>
      <c r="AN43" s="88" t="str">
        <f>VLOOKUP(AM43,תוצאות!$T$4:$AU$95,28,FALSE)</f>
        <v>AFRICA</v>
      </c>
      <c r="AO43" s="88">
        <f>SMALL(תוצאות!$U$4:$U$95,7)</f>
        <v>-5.728236677978138E-2</v>
      </c>
      <c r="AP43" s="88" t="str">
        <f>VLOOKUP(AO43,תוצאות!$U$4:$AU$95,27,FALSE)</f>
        <v>UNITED KINGDOM</v>
      </c>
      <c r="AQ43" s="88">
        <f>SMALL(תוצאות!$V$4:$V$95,7)</f>
        <v>9.8065313495270479E-2</v>
      </c>
      <c r="AR43" s="88" t="str">
        <f>VLOOKUP(AQ43,תוצאות!$V$4:$AU$95,26,FALSE)</f>
        <v>ASIA -OTHER</v>
      </c>
      <c r="AS43" s="88">
        <f>SMALL(תוצאות!$W$4:$W$95,7)</f>
        <v>-2.5359256128486551E-3</v>
      </c>
      <c r="AT43" s="88" t="str">
        <f>VLOOKUP(AS43,תוצאות!$W$4:$AU$95,25,FALSE)</f>
        <v>NORDIC COUNTRIES</v>
      </c>
      <c r="AU43" s="88">
        <f>SMALL(תוצאות!$X$4:$X$95,7)</f>
        <v>2.197240674501777E-2</v>
      </c>
      <c r="AV43" s="88" t="str">
        <f>VLOOKUP(AU43,תוצאות!$X$4:$AU$95,24,FALSE)</f>
        <v>KOREA</v>
      </c>
    </row>
    <row r="44" spans="1:48">
      <c r="AG44" s="88">
        <f>SMALL(תוצאות!$Q$4:$Q$95,8)</f>
        <v>9.6010222140226364E-2</v>
      </c>
      <c r="AH44" s="88" t="e">
        <f>VLOOKUP(AG44,תוצאות!$Q$4:$AU$95,32,FALSE)</f>
        <v>#REF!</v>
      </c>
      <c r="AI44" s="88">
        <f>SMALL(תוצאות!$R$4:$R$95,8)</f>
        <v>0.11223971559167079</v>
      </c>
      <c r="AJ44" s="88" t="str">
        <f>VLOOKUP(AI44,תוצאות!$R$4:$AU$95,30,FALSE)</f>
        <v>AFRICA</v>
      </c>
      <c r="AK44" s="88">
        <f>SMALL(תוצאות!$S$4:$S$95,8)</f>
        <v>1.5228426395939243E-2</v>
      </c>
      <c r="AL44" s="88" t="str">
        <f>VLOOKUP(AK44,תוצאות!$S$4:$AU$95,29,FALSE)</f>
        <v>INDIA</v>
      </c>
      <c r="AM44" s="88">
        <f>SMALL(תוצאות!$T$4:$T$95,8)</f>
        <v>0.13226968605249612</v>
      </c>
      <c r="AN44" s="88" t="str">
        <f>VLOOKUP(AM44,תוצאות!$T$4:$AU$95,28,FALSE)</f>
        <v>TURKEY</v>
      </c>
      <c r="AO44" s="88">
        <f>SMALL(תוצאות!$U$4:$U$95,8)</f>
        <v>-5.4204419011286142E-2</v>
      </c>
      <c r="AP44" s="88" t="str">
        <f>VLOOKUP(AO44,תוצאות!$U$4:$AU$95,27,FALSE)</f>
        <v>OTHER</v>
      </c>
      <c r="AQ44" s="88">
        <f>SMALL(תוצאות!$V$4:$V$95,8)</f>
        <v>0.10463895885810248</v>
      </c>
      <c r="AR44" s="88" t="str">
        <f>VLOOKUP(AQ44,תוצאות!$V$4:$AU$95,26,FALSE)</f>
        <v>NORDIC COUNTRIES</v>
      </c>
      <c r="AS44" s="88">
        <f>SMALL(תוצאות!$W$4:$W$95,8)</f>
        <v>-2.3752969121140222E-3</v>
      </c>
      <c r="AT44" s="88" t="str">
        <f>VLOOKUP(AS44,תוצאות!$W$4:$AU$95,25,FALSE)</f>
        <v>RUSSIA</v>
      </c>
      <c r="AU44" s="88">
        <f>SMALL(תוצאות!$X$4:$X$95,8)</f>
        <v>2.2113653895603047E-2</v>
      </c>
      <c r="AV44" s="88" t="str">
        <f>VLOOKUP(AU44,תוצאות!$X$4:$AU$95,24,FALSE)</f>
        <v>UNITED KINGDOM</v>
      </c>
    </row>
    <row r="45" spans="1:48">
      <c r="AG45" s="88">
        <f>SMALL(תוצאות!$Q$4:$Q$95,9)</f>
        <v>9.703045205220362E-2</v>
      </c>
      <c r="AH45" s="88" t="e">
        <f>VLOOKUP(AG45,תוצאות!$Q$4:$AU$95,32,FALSE)</f>
        <v>#REF!</v>
      </c>
      <c r="AI45" s="88">
        <f>SMALL(תוצאות!$R$4:$R$95,9)</f>
        <v>0.15611472215319844</v>
      </c>
      <c r="AJ45" s="88" t="str">
        <f>VLOOKUP(AI45,תוצאות!$R$4:$AU$95,30,FALSE)</f>
        <v>UKRAINE</v>
      </c>
      <c r="AK45" s="88">
        <f>SMALL(תוצאות!$S$4:$S$95,9)</f>
        <v>2.8399815397756045E-2</v>
      </c>
      <c r="AL45" s="88" t="str">
        <f>VLOOKUP(AK45,תוצאות!$S$4:$AU$95,29,FALSE)</f>
        <v>EUROPE</v>
      </c>
      <c r="AM45" s="88">
        <f>SMALL(תוצאות!$T$4:$T$95,9)</f>
        <v>0.13827993254637461</v>
      </c>
      <c r="AN45" s="88" t="str">
        <f>VLOOKUP(AM45,תוצאות!$T$4:$AU$95,28,FALSE)</f>
        <v>NORDIC COUNTRIES</v>
      </c>
      <c r="AO45" s="88">
        <f>SMALL(תוצאות!$U$4:$U$95,9)</f>
        <v>-5.0612611456796408E-2</v>
      </c>
      <c r="AP45" s="101" t="str">
        <f>VLOOKUP(AO45,תוצאות!$U$4:$AU$95,27,FALSE)</f>
        <v xml:space="preserve">      SWEDEN</v>
      </c>
      <c r="AS45" s="88">
        <f>SMALL(תוצאות!$W$4:$W$95,9)</f>
        <v>1.4164663335179073E-2</v>
      </c>
      <c r="AT45" s="88" t="str">
        <f>VLOOKUP(AS45,תוצאות!$W$4:$AU$95,25,FALSE)</f>
        <v>EUROPE</v>
      </c>
      <c r="AU45" s="88">
        <f>SMALL(תוצאות!$X$4:$X$95,9)</f>
        <v>8.4150748580278822E-2</v>
      </c>
      <c r="AV45" s="88" t="str">
        <f>VLOOKUP(AU45,תוצאות!$X$4:$AU$95,24,FALSE)</f>
        <v>AUSTRIA</v>
      </c>
    </row>
    <row r="46" spans="1:48">
      <c r="AG46" s="88">
        <f>SMALL(תוצאות!$Q$4:$Q$95,10)</f>
        <v>0.11027426820909048</v>
      </c>
      <c r="AH46" s="88" t="e">
        <f>VLOOKUP(AG46,תוצאות!$Q$4:$AU$95,32,FALSE)</f>
        <v>#REF!</v>
      </c>
      <c r="AI46" s="88">
        <f>SMALL(תוצאות!$R$4:$R$95,10)</f>
        <v>0.16984402079722716</v>
      </c>
      <c r="AJ46" s="88" t="str">
        <f>VLOOKUP(AI46,תוצאות!$R$4:$AU$95,30,FALSE)</f>
        <v>SWITZERLAND</v>
      </c>
      <c r="AK46" s="88">
        <f>SMALL(תוצאות!$S$4:$S$95,10)</f>
        <v>3.0110935023771823E-2</v>
      </c>
      <c r="AL46" s="88" t="str">
        <f>VLOOKUP(AK46,תוצאות!$S$4:$AU$95,29,FALSE)</f>
        <v>BELGIUM</v>
      </c>
      <c r="AM46" s="88">
        <f>SMALL(תוצאות!$T$4:$T$95,10)</f>
        <v>0.15041208791208804</v>
      </c>
      <c r="AN46" s="88" t="str">
        <f>VLOOKUP(AM46,תוצאות!$T$4:$AU$95,28,FALSE)</f>
        <v>CHINA</v>
      </c>
      <c r="AO46" s="88">
        <f>SMALL(תוצאות!$U$4:$U$95,10)</f>
        <v>-4.9978353937178421E-2</v>
      </c>
      <c r="AP46" s="88" t="str">
        <f>VLOOKUP(AO46,תוצאות!$U$4:$AU$95,27,FALSE)</f>
        <v>AFRICA</v>
      </c>
      <c r="AS46" s="88">
        <f>SMALL(תוצאות!$W$4:$W$95,10)</f>
        <v>3.4482758620689724E-2</v>
      </c>
      <c r="AT46" s="88" t="str">
        <f>VLOOKUP(AS46,תוצאות!$W$4:$AU$95,25,FALSE)</f>
        <v>UNITED KINGDOM</v>
      </c>
      <c r="AU46" s="88">
        <f>SMALL(תוצאות!$X$4:$X$95,10)</f>
        <v>0.123046875</v>
      </c>
      <c r="AV46" s="88" t="str">
        <f>VLOOKUP(AU46,תוצאות!$X$4:$AU$95,24,FALSE)</f>
        <v>TURKEY</v>
      </c>
    </row>
    <row r="47" spans="1:48">
      <c r="AG47" s="88">
        <f>SMALL(תוצאות!$Q$4:$Q$95,11)</f>
        <v>0.12703704176243202</v>
      </c>
      <c r="AH47" s="88" t="e">
        <f>VLOOKUP(AG47,תוצאות!$Q$4:$AU$95,32,FALSE)</f>
        <v>#REF!</v>
      </c>
      <c r="AI47" s="88">
        <f>SMALL(תוצאות!$R$4:$R$95,11)</f>
        <v>0.17667954353714288</v>
      </c>
      <c r="AJ47" s="88" t="str">
        <f>VLOOKUP(AI47,תוצאות!$R$4:$AU$95,30,FALSE)</f>
        <v>TURKEY</v>
      </c>
      <c r="AK47" s="88">
        <f>SMALL(תוצאות!$S$4:$S$95,11)</f>
        <v>4.5946955547254253E-2</v>
      </c>
      <c r="AL47" s="88" t="str">
        <f>VLOOKUP(AK47,תוצאות!$S$4:$AU$95,29,FALSE)</f>
        <v>SWITZERLAND</v>
      </c>
      <c r="AM47" s="88">
        <f>SMALL(תוצאות!$T$4:$T$95,11)</f>
        <v>0.15960587628499256</v>
      </c>
      <c r="AN47" s="88" t="str">
        <f>VLOOKUP(AM47,תוצאות!$T$4:$AU$95,28,FALSE)</f>
        <v>TOTAL CIS</v>
      </c>
      <c r="AO47" s="88">
        <f>SMALL(תוצאות!$U$4:$U$95,11)</f>
        <v>-4.4701611073292513E-2</v>
      </c>
      <c r="AP47" s="88" t="str">
        <f>VLOOKUP(AO47,תוצאות!$U$4:$AU$95,27,FALSE)</f>
        <v>NORDIC COUNTRIES</v>
      </c>
      <c r="AS47" s="88">
        <f>SMALL(תוצאות!$W$4:$W$95,11)</f>
        <v>6.1678463094034353E-2</v>
      </c>
      <c r="AT47" s="88" t="str">
        <f>VLOOKUP(AS47,תוצאות!$W$4:$AU$95,25,FALSE)</f>
        <v>AUSTRIA</v>
      </c>
      <c r="AU47" s="88">
        <f>SMALL(תוצאות!$X$4:$X$95,11)</f>
        <v>0.13276968842962278</v>
      </c>
      <c r="AV47" s="88" t="str">
        <f>VLOOKUP(AU47,תוצאות!$X$4:$AU$95,24,FALSE)</f>
        <v>EUROPE</v>
      </c>
    </row>
    <row r="48" spans="1:48">
      <c r="AG48" s="88">
        <f>SMALL(תוצאות!$Q$4:$Q$95,12)</f>
        <v>0.12859640756636459</v>
      </c>
      <c r="AH48" s="88" t="e">
        <f>VLOOKUP(AG48,תוצאות!$Q$4:$AU$95,32,FALSE)</f>
        <v>#REF!</v>
      </c>
      <c r="AI48" s="88">
        <f>SMALL(תוצאות!$R$4:$R$95,12)</f>
        <v>0.20018904894213141</v>
      </c>
      <c r="AJ48" s="88" t="str">
        <f>VLOOKUP(AI48,תוצאות!$R$4:$AU$95,30,FALSE)</f>
        <v>EUROPE</v>
      </c>
      <c r="AK48" s="88">
        <f>SMALL(תוצאות!$S$4:$S$95,12)</f>
        <v>4.6106160402944463E-2</v>
      </c>
      <c r="AL48" s="88" t="str">
        <f>VLOOKUP(AK48,תוצאות!$S$4:$AU$95,29,FALSE)</f>
        <v>OCEANIA</v>
      </c>
      <c r="AM48" s="88">
        <f>SMALL(תוצאות!$T$4:$T$95,12)</f>
        <v>0.16108602591919308</v>
      </c>
      <c r="AN48" s="88" t="str">
        <f>VLOOKUP(AM48,תוצאות!$T$4:$AU$95,28,FALSE)</f>
        <v>UNITED KINGDOM</v>
      </c>
      <c r="AO48" s="88">
        <f>SMALL(תוצאות!$U$4:$U$95,12)</f>
        <v>-2.9065002206670409E-2</v>
      </c>
      <c r="AP48" s="101" t="str">
        <f>VLOOKUP(AO48,תוצאות!$U$4:$AU$95,27,FALSE)</f>
        <v>ASIA -OTHER</v>
      </c>
      <c r="AS48" s="88">
        <f>SMALL(תוצאות!$W$4:$W$95,12)</f>
        <v>6.4701064701064626E-2</v>
      </c>
      <c r="AT48" s="88" t="str">
        <f>VLOOKUP(AS48,תוצאות!$W$4:$AU$95,25,FALSE)</f>
        <v>NETHERLANDS</v>
      </c>
      <c r="AU48" s="88"/>
      <c r="AV48" s="88"/>
    </row>
    <row r="49" spans="33:48">
      <c r="AG49" s="88">
        <f>SMALL(תוצאות!$Q$4:$Q$95,13)</f>
        <v>0.13664618335523748</v>
      </c>
      <c r="AH49" s="88" t="e">
        <f>VLOOKUP(AG49,תוצאות!$Q$4:$AU$95,32,FALSE)</f>
        <v>#REF!</v>
      </c>
      <c r="AI49" s="88">
        <f>SMALL(תוצאות!$R$4:$R$95,13)</f>
        <v>0.20560706636384007</v>
      </c>
      <c r="AJ49" s="88" t="str">
        <f>VLOOKUP(AI49,תוצאות!$R$4:$AU$95,30,FALSE)</f>
        <v>UNITED STATES</v>
      </c>
      <c r="AK49" s="88">
        <f>SMALL(תוצאות!$S$4:$S$95,13)</f>
        <v>8.9859752484175992E-2</v>
      </c>
      <c r="AL49" s="88" t="str">
        <f>VLOOKUP(AK49,תוצאות!$S$4:$AU$95,29,FALSE)</f>
        <v>TOTAL</v>
      </c>
      <c r="AM49" s="88">
        <f>SMALL(תוצאות!$T$4:$T$95,13)</f>
        <v>0.19465004544864306</v>
      </c>
      <c r="AN49" s="88" t="str">
        <f>VLOOKUP(AM49,תוצאות!$T$4:$AU$95,28,FALSE)</f>
        <v>RUSSIA</v>
      </c>
      <c r="AO49" s="88">
        <f>SMALL(תוצאות!$U$4:$U$95,13)</f>
        <v>-1.5367375246841397E-2</v>
      </c>
      <c r="AP49" s="88" t="str">
        <f>VLOOKUP(AO49,תוצאות!$U$4:$AU$95,27,FALSE)</f>
        <v>TOTAL CIS</v>
      </c>
      <c r="AS49" s="88">
        <f>SMALL(תוצאות!$W$4:$W$95,13)</f>
        <v>6.8608167219563532E-2</v>
      </c>
      <c r="AT49" s="88" t="str">
        <f>VLOOKUP(AS49,תוצאות!$W$4:$AU$95,25,FALSE)</f>
        <v>TOTAL CIS</v>
      </c>
      <c r="AU49" s="88"/>
      <c r="AV49" s="88"/>
    </row>
    <row r="50" spans="33:48">
      <c r="AG50" s="88">
        <f>SMALL(תוצאות!$Q$4:$Q$95,14)</f>
        <v>0.17749672917575232</v>
      </c>
      <c r="AH50" s="88" t="e">
        <f>VLOOKUP(AG50,תוצאות!$Q$4:$AU$95,32,FALSE)</f>
        <v>#REF!</v>
      </c>
      <c r="AI50" s="88">
        <f>SMALL(תוצאות!$R$4:$R$95,14)</f>
        <v>0.21825669183253238</v>
      </c>
      <c r="AJ50" s="88" t="str">
        <f>VLOOKUP(AI50,תוצאות!$R$4:$AU$95,30,FALSE)</f>
        <v>OTHER</v>
      </c>
      <c r="AK50" s="88">
        <f>SMALL(תוצאות!$S$4:$S$95,14)</f>
        <v>9.9457016626757877E-2</v>
      </c>
      <c r="AL50" s="88" t="str">
        <f>VLOOKUP(AK50,תוצאות!$S$4:$AU$95,29,FALSE)</f>
        <v>TOTAL CIS</v>
      </c>
      <c r="AM50" s="88">
        <f>SMALL(תוצאות!$T$4:$T$95,14)</f>
        <v>0.19467825142546857</v>
      </c>
      <c r="AN50" s="88" t="str">
        <f>VLOOKUP(AM50,תוצאות!$T$4:$AU$95,28,FALSE)</f>
        <v>ROMANIA</v>
      </c>
      <c r="AO50" s="88">
        <f>SMALL(תוצאות!$U$4:$U$95,14)</f>
        <v>-9.0239514737053828E-3</v>
      </c>
      <c r="AP50" s="88" t="str">
        <f>VLOOKUP(AO50,תוצאות!$U$4:$AU$95,27,FALSE)</f>
        <v>EUROPE</v>
      </c>
      <c r="AS50" s="88">
        <f>SMALL(תוצאות!$W$4:$W$95,14)</f>
        <v>7.2893657305143522E-2</v>
      </c>
      <c r="AT50" s="88" t="str">
        <f>VLOOKUP(AS50,תוצאות!$W$4:$AU$95,25,FALSE)</f>
        <v>SWITZERLAND</v>
      </c>
      <c r="AU50" s="88"/>
      <c r="AV50" s="88"/>
    </row>
    <row r="51" spans="33:48">
      <c r="AG51" s="88">
        <f>SMALL(תוצאות!$Q$4:$Q$95,15)</f>
        <v>0.1785191540907487</v>
      </c>
      <c r="AH51" s="88" t="e">
        <f>VLOOKUP(AG51,תוצאות!$Q$4:$AU$95,32,FALSE)</f>
        <v>#REF!</v>
      </c>
      <c r="AI51" s="88">
        <f>SMALL(תוצאות!$R$4:$R$95,15)</f>
        <v>0.22546192811624155</v>
      </c>
      <c r="AJ51" s="88" t="str">
        <f>VLOOKUP(AI51,תוצאות!$R$4:$AU$95,30,FALSE)</f>
        <v>AMERICA</v>
      </c>
      <c r="AK51" s="88">
        <f>SMALL(תוצאות!$S$4:$S$95,15)</f>
        <v>0.10787824529991052</v>
      </c>
      <c r="AL51" s="88" t="str">
        <f>VLOOKUP(AK51,תוצאות!$S$4:$AU$95,29,FALSE)</f>
        <v>UNITED KINGDOM</v>
      </c>
      <c r="AM51" s="88">
        <f>SMALL(תוצאות!$T$4:$T$95,15)</f>
        <v>0.19606965291359368</v>
      </c>
      <c r="AN51" s="88" t="str">
        <f>VLOOKUP(AM51,תוצאות!$T$4:$AU$95,28,FALSE)</f>
        <v>TOTAL</v>
      </c>
      <c r="AO51" s="88">
        <f>SMALL(תוצאות!$U$4:$U$95,15)</f>
        <v>4.7845700280609416E-2</v>
      </c>
      <c r="AP51" s="88" t="str">
        <f>VLOOKUP(AO51,תוצאות!$U$4:$AU$95,27,FALSE)</f>
        <v>BRAZIL</v>
      </c>
      <c r="AS51" s="88">
        <f>SMALL(תוצאות!$W$4:$W$95,15)</f>
        <v>7.7734464572345896E-2</v>
      </c>
      <c r="AT51" s="88" t="str">
        <f>VLOOKUP(AS51,תוצאות!$W$4:$AU$95,25,FALSE)</f>
        <v>BRAZIL</v>
      </c>
      <c r="AU51" s="88"/>
      <c r="AV51" s="88"/>
    </row>
    <row r="52" spans="33:48">
      <c r="AG52" s="88">
        <f>SMALL(תוצאות!$Q$4:$Q$95,16)</f>
        <v>0.18850193477059141</v>
      </c>
      <c r="AH52" s="88" t="e">
        <f>VLOOKUP(AG52,תוצאות!$Q$4:$AU$95,32,FALSE)</f>
        <v>#REF!</v>
      </c>
      <c r="AI52" s="88">
        <f>SMALL(תוצאות!$R$4:$R$95,16)</f>
        <v>0.23732834264982339</v>
      </c>
      <c r="AJ52" s="88" t="str">
        <f>VLOOKUP(AI52,תוצאות!$R$4:$AU$95,30,FALSE)</f>
        <v>TOTAL</v>
      </c>
      <c r="AK52" s="88">
        <f>SMALL(תוצאות!$S$4:$S$95,16)</f>
        <v>0.1117287381878822</v>
      </c>
      <c r="AL52" s="88" t="str">
        <f>VLOOKUP(AK52,תוצאות!$S$4:$AU$95,29,FALSE)</f>
        <v>CANADA</v>
      </c>
      <c r="AM52" s="88">
        <f>SMALL(תוצאות!$T$4:$T$95,16)</f>
        <v>0.20643431635388754</v>
      </c>
      <c r="AN52" s="88" t="str">
        <f>VLOOKUP(AM52,תוצאות!$T$4:$AU$95,28,FALSE)</f>
        <v>GREECE</v>
      </c>
      <c r="AO52" s="88">
        <f>SMALL(תוצאות!$U$4:$U$95,16)</f>
        <v>5.7213930348258613E-2</v>
      </c>
      <c r="AP52" s="88" t="str">
        <f>VLOOKUP(AO52,תוצאות!$U$4:$AU$95,27,FALSE)</f>
        <v>MEXICO</v>
      </c>
      <c r="AS52" s="88">
        <f>SMALL(תוצאות!$W$4:$W$95,16)</f>
        <v>8.0024686278543644E-2</v>
      </c>
      <c r="AT52" s="88" t="str">
        <f>VLOOKUP(AS52,תוצאות!$W$4:$AU$95,25,FALSE)</f>
        <v>UKRAINE</v>
      </c>
      <c r="AU52" s="88"/>
      <c r="AV52" s="88"/>
    </row>
    <row r="53" spans="33:48">
      <c r="AG53" s="88">
        <f>SMALL(תוצאות!$Q$4:$Q$95,17)</f>
        <v>0.2033893524178223</v>
      </c>
      <c r="AH53" s="88" t="e">
        <f>VLOOKUP(AG53,תוצאות!$Q$4:$AU$95,32,FALSE)</f>
        <v>#REF!</v>
      </c>
      <c r="AI53" s="88">
        <f>SMALL(תוצאות!$R$4:$R$95,17)</f>
        <v>0.23879810226673714</v>
      </c>
      <c r="AJ53" s="88" t="str">
        <f>VLOOKUP(AI53,תוצאות!$R$4:$AU$95,30,FALSE)</f>
        <v>AUSTRIA</v>
      </c>
      <c r="AK53" s="88">
        <f>SMALL(תוצאות!$S$4:$S$95,17)</f>
        <v>0.11669458403126742</v>
      </c>
      <c r="AL53" s="88" t="str">
        <f>VLOOKUP(AK53,תוצאות!$S$4:$AU$95,29,FALSE)</f>
        <v>AUSTRIA</v>
      </c>
      <c r="AM53" s="88">
        <f>SMALL(תוצאות!$T$4:$T$95,17)</f>
        <v>0.2084909625893232</v>
      </c>
      <c r="AN53" s="88" t="str">
        <f>VLOOKUP(AM53,תוצאות!$T$4:$AU$95,28,FALSE)</f>
        <v>GERMANY</v>
      </c>
      <c r="AO53" s="88">
        <f>SMALL(תוצאות!$U$4:$U$95,17)</f>
        <v>6.6486936526186424E-2</v>
      </c>
      <c r="AP53" s="88" t="str">
        <f>VLOOKUP(AO53,תוצאות!$U$4:$AU$95,27,FALSE)</f>
        <v>SWITZERLAND</v>
      </c>
      <c r="AS53" s="88">
        <f>SMALL(תוצאות!$W$4:$W$95,17)</f>
        <v>0.10663450038166822</v>
      </c>
      <c r="AT53" s="88" t="str">
        <f>VLOOKUP(AS53,תוצאות!$W$4:$AU$95,25,FALSE)</f>
        <v>TOTAL</v>
      </c>
      <c r="AU53" s="88"/>
      <c r="AV53" s="88"/>
    </row>
    <row r="54" spans="33:48">
      <c r="AS54" s="88">
        <f>SMALL(תוצאות!$W$4:$W$95,18)</f>
        <v>0.11548556430446189</v>
      </c>
      <c r="AT54" s="88" t="str">
        <f>VLOOKUP(AS54,תוצאות!$W$4:$AU$95,25,FALSE)</f>
        <v>OTHER</v>
      </c>
      <c r="AU54" s="88"/>
      <c r="AV54" s="88"/>
    </row>
    <row r="55" spans="33:48">
      <c r="AS55" s="88">
        <f>SMALL(תוצאות!$W$4:$W$95,19)</f>
        <v>0.11561866125760667</v>
      </c>
      <c r="AT55" s="88" t="str">
        <f>VLOOKUP(AS55,תוצאות!$W$4:$AU$95,25,FALSE)</f>
        <v xml:space="preserve">      SWEDEN</v>
      </c>
      <c r="AU55" s="88"/>
      <c r="AV55" s="88"/>
    </row>
    <row r="56" spans="33:48">
      <c r="AS56" s="88">
        <f>SMALL(תוצאות!$W$4:$W$95,20)</f>
        <v>0.13853672356399183</v>
      </c>
      <c r="AT56" s="88" t="str">
        <f>VLOOKUP(AS56,תוצאות!$W$4:$AU$95,25,FALSE)</f>
        <v>UNITED STATES</v>
      </c>
      <c r="AU56" s="88"/>
      <c r="AV56" s="88"/>
    </row>
    <row r="57" spans="33:48">
      <c r="AS57" s="88">
        <f>SMALL(תוצאות!$W$4:$W$95,21)</f>
        <v>0.14734299516908211</v>
      </c>
      <c r="AT57" s="88" t="str">
        <f>VLOOKUP(AS57,תוצאות!$W$4:$AU$95,25,FALSE)</f>
        <v>AFRICA</v>
      </c>
      <c r="AU57" s="88"/>
      <c r="AV57" s="88"/>
    </row>
    <row r="58" spans="33:48">
      <c r="AS58" s="88">
        <f>SMALL(תוצאות!$W$4:$W$95,22)</f>
        <v>0.16174802858875958</v>
      </c>
      <c r="AT58" s="88" t="str">
        <f>VLOOKUP(AS58,תוצאות!$W$4:$AU$95,25,FALSE)</f>
        <v>AMERICA</v>
      </c>
      <c r="AU58" s="88"/>
      <c r="AV58" s="88"/>
    </row>
    <row r="59" spans="33:48">
      <c r="AS59" s="88">
        <f>SMALL(תוצאות!$W$4:$W$95,23)</f>
        <v>0.18733509234828505</v>
      </c>
      <c r="AT59" s="88" t="str">
        <f>VLOOKUP(AS59,תוצאות!$W$4:$AU$95,25,FALSE)</f>
        <v>GREECE</v>
      </c>
      <c r="AU59" s="88"/>
      <c r="AV59" s="88"/>
    </row>
    <row r="60" spans="33:48">
      <c r="AS60" s="88">
        <f>SMALL(תוצאות!$W$4:$W$95,24)</f>
        <v>0.18838885641924796</v>
      </c>
      <c r="AT60" s="88" t="str">
        <f>VLOOKUP(AS60,תוצאות!$W$4:$AU$95,25,FALSE)</f>
        <v>GERMANY</v>
      </c>
      <c r="AU60" s="88"/>
      <c r="AV60" s="88"/>
    </row>
    <row r="61" spans="33:48">
      <c r="AS61" s="88"/>
      <c r="AT61" s="88"/>
      <c r="AU61" s="88"/>
      <c r="AV61" s="88"/>
    </row>
    <row r="62" spans="33:48">
      <c r="AS62" s="88"/>
      <c r="AT62" s="88"/>
      <c r="AU62" s="88"/>
      <c r="AV62" s="88"/>
    </row>
    <row r="63" spans="33:48">
      <c r="AS63" s="88"/>
      <c r="AT63" s="88"/>
      <c r="AU63" s="88"/>
      <c r="AV63" s="88"/>
    </row>
    <row r="64" spans="33:48">
      <c r="AS64" s="88"/>
      <c r="AT64" s="88"/>
      <c r="AU64" s="88"/>
      <c r="AV64" s="88"/>
    </row>
    <row r="65" spans="45:48">
      <c r="AS65" s="88"/>
      <c r="AT65" s="88"/>
      <c r="AU65" s="88"/>
      <c r="AV65" s="88"/>
    </row>
    <row r="66" spans="45:48">
      <c r="AS66" s="88"/>
      <c r="AT66" s="88"/>
      <c r="AU66" s="88"/>
      <c r="AV66" s="88"/>
    </row>
    <row r="67" spans="45:48">
      <c r="AS67" s="88"/>
      <c r="AT67" s="88"/>
      <c r="AU67" s="88"/>
      <c r="AV67" s="88"/>
    </row>
    <row r="68" spans="45:48">
      <c r="AS68" s="88"/>
      <c r="AT68" s="88"/>
      <c r="AU68" s="88"/>
      <c r="AV68" s="88"/>
    </row>
    <row r="69" spans="45:48">
      <c r="AS69" s="88"/>
      <c r="AT69" s="88"/>
      <c r="AU69" s="88"/>
      <c r="AV69" s="88"/>
    </row>
    <row r="70" spans="45:48">
      <c r="AS70" s="88"/>
      <c r="AT70" s="88"/>
      <c r="AU70" s="88"/>
      <c r="AV70" s="88"/>
    </row>
    <row r="71" spans="45:48">
      <c r="AS71" s="88"/>
      <c r="AT71" s="88"/>
      <c r="AU71" s="88"/>
      <c r="AV71" s="88"/>
    </row>
    <row r="72" spans="45:48">
      <c r="AS72" s="88"/>
      <c r="AT72" s="88"/>
      <c r="AU72" s="88"/>
      <c r="AV72" s="88"/>
    </row>
    <row r="73" spans="45:48">
      <c r="AS73" s="88"/>
      <c r="AT73" s="88"/>
      <c r="AU73" s="88"/>
      <c r="AV73" s="88"/>
    </row>
    <row r="74" spans="45:48">
      <c r="AS74" s="88"/>
      <c r="AT74" s="88"/>
      <c r="AU74" s="88"/>
      <c r="AV74" s="88"/>
    </row>
    <row r="75" spans="45:48">
      <c r="AS75" s="88"/>
      <c r="AT75" s="88"/>
      <c r="AU75" s="88"/>
      <c r="AV75" s="88"/>
    </row>
    <row r="76" spans="45:48">
      <c r="AS76" s="88"/>
      <c r="AT76" s="88"/>
      <c r="AU76" s="88"/>
      <c r="AV76" s="88"/>
    </row>
    <row r="77" spans="45:48">
      <c r="AS77" s="88"/>
      <c r="AT77" s="88"/>
      <c r="AU77" s="88"/>
      <c r="AV77" s="88"/>
    </row>
    <row r="78" spans="45:48">
      <c r="AS78" s="88"/>
      <c r="AT78" s="88"/>
      <c r="AU78" s="88"/>
      <c r="AV78" s="88"/>
    </row>
    <row r="79" spans="45:48">
      <c r="AS79" s="88"/>
      <c r="AT79" s="88"/>
      <c r="AU79" s="88"/>
      <c r="AV79" s="88"/>
    </row>
    <row r="80" spans="45:48">
      <c r="AS80" s="88"/>
      <c r="AT80" s="88"/>
      <c r="AU80" s="88"/>
      <c r="AV80" s="88"/>
    </row>
    <row r="81" spans="45:48">
      <c r="AS81" s="88"/>
      <c r="AT81" s="88"/>
      <c r="AU81" s="88"/>
      <c r="AV81" s="88"/>
    </row>
    <row r="82" spans="45:48">
      <c r="AS82" s="88"/>
      <c r="AT82" s="88"/>
      <c r="AU82" s="88"/>
      <c r="AV82" s="88"/>
    </row>
    <row r="83" spans="45:48">
      <c r="AS83" s="88"/>
      <c r="AT83" s="88"/>
      <c r="AU83" s="88"/>
      <c r="AV83" s="88"/>
    </row>
    <row r="84" spans="45:48">
      <c r="AS84" s="88"/>
      <c r="AT84" s="88"/>
      <c r="AU84" s="88"/>
      <c r="AV84" s="88"/>
    </row>
    <row r="85" spans="45:48">
      <c r="AS85" s="88"/>
      <c r="AT85" s="88"/>
      <c r="AU85" s="88"/>
      <c r="AV85" s="88"/>
    </row>
    <row r="86" spans="45:48">
      <c r="AS86" s="88"/>
      <c r="AT86" s="88"/>
      <c r="AU86" s="88"/>
      <c r="AV86" s="88"/>
    </row>
    <row r="87" spans="45:48">
      <c r="AS87" s="88"/>
      <c r="AT87" s="88"/>
      <c r="AU87" s="88"/>
      <c r="AV87" s="88"/>
    </row>
  </sheetData>
  <mergeCells count="81">
    <mergeCell ref="AO36:AP36"/>
    <mergeCell ref="AQ36:AR36"/>
    <mergeCell ref="AO34:AV34"/>
    <mergeCell ref="AS35:AV35"/>
    <mergeCell ref="AS36:AT36"/>
    <mergeCell ref="AU36:AV36"/>
    <mergeCell ref="AO35:AR35"/>
    <mergeCell ref="AE36:AF36"/>
    <mergeCell ref="AG36:AH36"/>
    <mergeCell ref="AI36:AJ36"/>
    <mergeCell ref="AK36:AL36"/>
    <mergeCell ref="AM36:AN36"/>
    <mergeCell ref="A36:B36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U35:X35"/>
    <mergeCell ref="Y35:AB35"/>
    <mergeCell ref="AC35:AF35"/>
    <mergeCell ref="AG35:AJ35"/>
    <mergeCell ref="AK35:AN35"/>
    <mergeCell ref="A35:D35"/>
    <mergeCell ref="E35:H35"/>
    <mergeCell ref="I35:L35"/>
    <mergeCell ref="M35:P35"/>
    <mergeCell ref="Q35:T35"/>
    <mergeCell ref="A34:H34"/>
    <mergeCell ref="I34:P34"/>
    <mergeCell ref="Q34:X34"/>
    <mergeCell ref="Y34:AF34"/>
    <mergeCell ref="AG34:AN34"/>
    <mergeCell ref="AO1:AR1"/>
    <mergeCell ref="AQ3:AR3"/>
    <mergeCell ref="AO3:AP3"/>
    <mergeCell ref="AK3:AL3"/>
    <mergeCell ref="AM3:AN3"/>
    <mergeCell ref="AG1:AN1"/>
    <mergeCell ref="AI3:AJ3"/>
    <mergeCell ref="AG3:AH3"/>
    <mergeCell ref="AK2:AN2"/>
    <mergeCell ref="AG2:AJ2"/>
    <mergeCell ref="AO2:AR2"/>
    <mergeCell ref="AC3:AD3"/>
    <mergeCell ref="AE3:AF3"/>
    <mergeCell ref="Y1:AF1"/>
    <mergeCell ref="Y2:AB2"/>
    <mergeCell ref="AC2:AF2"/>
    <mergeCell ref="Y3:Z3"/>
    <mergeCell ref="AA3:AB3"/>
    <mergeCell ref="W3:X3"/>
    <mergeCell ref="Q1:X1"/>
    <mergeCell ref="Q2:T2"/>
    <mergeCell ref="U2:X2"/>
    <mergeCell ref="Q3:R3"/>
    <mergeCell ref="S3:T3"/>
    <mergeCell ref="O3:P3"/>
    <mergeCell ref="I1:P1"/>
    <mergeCell ref="I2:L2"/>
    <mergeCell ref="M2:P2"/>
    <mergeCell ref="U3:V3"/>
    <mergeCell ref="I3:J3"/>
    <mergeCell ref="K3:L3"/>
    <mergeCell ref="E3:F3"/>
    <mergeCell ref="G3:H3"/>
    <mergeCell ref="M3:N3"/>
    <mergeCell ref="A1:H1"/>
    <mergeCell ref="A2:D2"/>
    <mergeCell ref="E2:H2"/>
    <mergeCell ref="A3:B3"/>
    <mergeCell ref="C3:D3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3"/>
  <sheetViews>
    <sheetView rightToLeft="1" workbookViewId="0">
      <selection activeCell="B4" sqref="B4"/>
    </sheetView>
  </sheetViews>
  <sheetFormatPr defaultRowHeight="15"/>
  <cols>
    <col min="1" max="1" width="15.28515625" bestFit="1" customWidth="1"/>
  </cols>
  <sheetData>
    <row r="1" spans="1:2">
      <c r="A1" t="s">
        <v>123</v>
      </c>
      <c r="B1" s="93">
        <v>0</v>
      </c>
    </row>
    <row r="2" spans="1:2">
      <c r="A2" t="s">
        <v>124</v>
      </c>
      <c r="B2" s="93">
        <v>0</v>
      </c>
    </row>
    <row r="3" spans="1:2">
      <c r="A3" t="s">
        <v>125</v>
      </c>
      <c r="B3">
        <v>1.5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94"/>
  <sheetViews>
    <sheetView rightToLeft="1" topLeftCell="D1" workbookViewId="0">
      <selection activeCell="D14" sqref="D14"/>
    </sheetView>
  </sheetViews>
  <sheetFormatPr defaultRowHeight="15"/>
  <cols>
    <col min="1" max="1" width="2.85546875" bestFit="1" customWidth="1"/>
    <col min="2" max="2" width="27.28515625" bestFit="1" customWidth="1"/>
    <col min="4" max="4" width="18.28515625" bestFit="1" customWidth="1"/>
    <col min="5" max="5" width="6.28515625" customWidth="1"/>
    <col min="6" max="6" width="8.85546875" customWidth="1"/>
    <col min="7" max="7" width="16.5703125" bestFit="1" customWidth="1"/>
    <col min="8" max="8" width="2.85546875" hidden="1" customWidth="1"/>
    <col min="9" max="9" width="5.85546875" customWidth="1"/>
  </cols>
  <sheetData>
    <row r="1" spans="1:21">
      <c r="B1" t="str">
        <f>IF(Nov!A5&lt;&gt;"",Nov!A5,"")</f>
        <v>TOTAL</v>
      </c>
      <c r="D1" t="s">
        <v>254</v>
      </c>
      <c r="E1" s="285">
        <v>2</v>
      </c>
      <c r="F1" t="str">
        <f>CONCATENATE(" Jan.- ",VLOOKUP(E1,Q1:R12,2,FALSE))</f>
        <v xml:space="preserve"> Jan.- Feb</v>
      </c>
      <c r="Q1">
        <v>1</v>
      </c>
      <c r="R1" t="s">
        <v>239</v>
      </c>
    </row>
    <row r="2" spans="1:21" ht="45.75" thickBot="1">
      <c r="B2" t="str">
        <f>IF(Nov!A6&lt;&gt;"",Nov!A6,"")</f>
        <v>ASIA</v>
      </c>
      <c r="D2" s="284" t="s">
        <v>252</v>
      </c>
      <c r="E2" s="292">
        <v>20</v>
      </c>
      <c r="F2" s="306" t="s">
        <v>251</v>
      </c>
      <c r="G2" s="307" t="s">
        <v>238</v>
      </c>
      <c r="H2" s="307"/>
      <c r="I2" s="307" t="s">
        <v>253</v>
      </c>
      <c r="Q2">
        <v>2</v>
      </c>
      <c r="R2" t="s">
        <v>240</v>
      </c>
    </row>
    <row r="3" spans="1:21" ht="15.75" thickTop="1">
      <c r="A3" t="str">
        <f>IF(Nov!G7&gt;0,RANK(Nov!G7,Nov!$G$5:$G$96),"")</f>
        <v/>
      </c>
      <c r="B3" t="str">
        <f>IF(Nov!A7&lt;&gt;"",Nov!A7,"")</f>
        <v/>
      </c>
      <c r="F3" s="156">
        <f ca="1">IF(I3&lt;&gt;"",VLOOKUP(G3,INDIRECT($U$15),7,FALSE),"")</f>
        <v>97.7</v>
      </c>
      <c r="G3" s="276" t="str">
        <f t="shared" ref="G3:G22" si="0">IF(H3&lt;&gt;"",INDEX($B$1:$B$100,MATCH(H3,$A$1:$A$100,0),1),"")</f>
        <v>UNITED STATES</v>
      </c>
      <c r="H3" s="277">
        <f t="shared" ref="H3:H22" si="1">IF(I3&lt;&gt;"",SMALL($A$1:$A$247,I3),"")</f>
        <v>4</v>
      </c>
      <c r="I3" s="278">
        <f>1</f>
        <v>1</v>
      </c>
      <c r="Q3">
        <v>3</v>
      </c>
      <c r="R3" t="s">
        <v>241</v>
      </c>
    </row>
    <row r="4" spans="1:21">
      <c r="B4" t="str">
        <f>IF(Nov!A8&lt;&gt;"",Nov!A8,"")</f>
        <v>ASIA (FAR EAST)</v>
      </c>
      <c r="F4" s="156">
        <f t="shared" ref="F4:F22" ca="1" si="2">IF(I4&lt;&gt;"",VLOOKUP(G4,INDIRECT($U$15),7,FALSE),"")</f>
        <v>40.5</v>
      </c>
      <c r="G4" s="279" t="str">
        <f t="shared" si="0"/>
        <v>RUSSIA</v>
      </c>
      <c r="H4" s="91">
        <f t="shared" si="1"/>
        <v>7</v>
      </c>
      <c r="I4" s="280">
        <f>IF(I3="","",IF(I3+1&gt;$E$2,"",I3+1))</f>
        <v>2</v>
      </c>
      <c r="Q4">
        <v>4</v>
      </c>
      <c r="R4" t="s">
        <v>242</v>
      </c>
    </row>
    <row r="5" spans="1:21">
      <c r="A5">
        <f>IF(Nov!G9&gt;0,RANK(Nov!G9,Nov!$G$5:$G$96),"")</f>
        <v>24</v>
      </c>
      <c r="B5" t="str">
        <f>IF(Nov!A9&lt;&gt;"",Nov!A9,"")</f>
        <v>INDIA</v>
      </c>
      <c r="F5" s="156">
        <f t="shared" ca="1" si="2"/>
        <v>34.200000000000003</v>
      </c>
      <c r="G5" s="279" t="str">
        <f t="shared" si="0"/>
        <v>FRANCE</v>
      </c>
      <c r="H5" s="91">
        <f t="shared" si="1"/>
        <v>9</v>
      </c>
      <c r="I5" s="280">
        <f t="shared" ref="I5:I22" si="3">IF(I4="","",IF(I4+1&gt;$E$2,"",I4+1))</f>
        <v>3</v>
      </c>
      <c r="Q5">
        <v>5</v>
      </c>
      <c r="R5" t="s">
        <v>94</v>
      </c>
    </row>
    <row r="6" spans="1:21">
      <c r="A6">
        <f>IF(Nov!G10&gt;0,RANK(Nov!G10,Nov!$G$5:$G$96),"")</f>
        <v>65</v>
      </c>
      <c r="B6" t="str">
        <f>IF(Nov!A10&lt;&gt;"",Nov!A10,"")</f>
        <v>MALAYSIA</v>
      </c>
      <c r="F6" s="156">
        <f t="shared" ca="1" si="2"/>
        <v>24.5</v>
      </c>
      <c r="G6" s="279" t="str">
        <f t="shared" si="0"/>
        <v>GERMANY</v>
      </c>
      <c r="H6" s="91">
        <f t="shared" si="1"/>
        <v>10</v>
      </c>
      <c r="I6" s="280">
        <f t="shared" si="3"/>
        <v>4</v>
      </c>
      <c r="Q6">
        <v>6</v>
      </c>
      <c r="R6" t="s">
        <v>243</v>
      </c>
    </row>
    <row r="7" spans="1:21">
      <c r="A7">
        <f>IF(Nov!G11&gt;0,RANK(Nov!G11,Nov!$G$5:$G$96),"")</f>
        <v>32</v>
      </c>
      <c r="B7" t="str">
        <f>IF(Nov!A11&lt;&gt;"",Nov!A11,"")</f>
        <v>INDONESIA</v>
      </c>
      <c r="F7" s="156">
        <f t="shared" ca="1" si="2"/>
        <v>22.9</v>
      </c>
      <c r="G7" s="279" t="str">
        <f t="shared" si="0"/>
        <v>UNITED KINGDOM</v>
      </c>
      <c r="H7" s="91">
        <f t="shared" si="1"/>
        <v>11</v>
      </c>
      <c r="I7" s="280">
        <f t="shared" si="3"/>
        <v>5</v>
      </c>
      <c r="Q7">
        <v>7</v>
      </c>
      <c r="R7" t="s">
        <v>244</v>
      </c>
    </row>
    <row r="8" spans="1:21">
      <c r="A8">
        <f>IF(Nov!G12&gt;0,RANK(Nov!G12,Nov!$G$5:$G$96),"")</f>
        <v>63</v>
      </c>
      <c r="B8" t="str">
        <f>IF(Nov!A12&lt;&gt;"",Nov!A12,"")</f>
        <v>HONG KONG</v>
      </c>
      <c r="F8" s="156">
        <f t="shared" ca="1" si="2"/>
        <v>18.100000000000001</v>
      </c>
      <c r="G8" s="279" t="str">
        <f t="shared" si="0"/>
        <v>UKRAINE</v>
      </c>
      <c r="H8" s="91">
        <f t="shared" si="1"/>
        <v>12</v>
      </c>
      <c r="I8" s="280">
        <f t="shared" si="3"/>
        <v>6</v>
      </c>
      <c r="Q8">
        <v>8</v>
      </c>
      <c r="R8" t="s">
        <v>245</v>
      </c>
    </row>
    <row r="9" spans="1:21">
      <c r="A9">
        <f>IF(Nov!G13&gt;0,RANK(Nov!G13,Nov!$G$5:$G$96),"")</f>
        <v>14</v>
      </c>
      <c r="B9" t="str">
        <f>IF(Nov!A13&lt;&gt;"",Nov!A13,"")</f>
        <v>CHINA</v>
      </c>
      <c r="F9" s="156">
        <f t="shared" ca="1" si="2"/>
        <v>17.399999999999999</v>
      </c>
      <c r="G9" s="279" t="str">
        <f t="shared" si="0"/>
        <v>CHINA</v>
      </c>
      <c r="H9" s="91">
        <f t="shared" si="1"/>
        <v>14</v>
      </c>
      <c r="I9" s="280">
        <f t="shared" si="3"/>
        <v>7</v>
      </c>
      <c r="Q9">
        <v>9</v>
      </c>
      <c r="R9" t="s">
        <v>246</v>
      </c>
    </row>
    <row r="10" spans="1:21">
      <c r="A10">
        <f>IF(Nov!G14&gt;0,RANK(Nov!G14,Nov!$G$5:$G$96),"")</f>
        <v>46</v>
      </c>
      <c r="B10" t="str">
        <f>IF(Nov!A14&lt;&gt;"",Nov!A14,"")</f>
        <v>JAPAN</v>
      </c>
      <c r="F10" s="156">
        <f t="shared" ca="1" si="2"/>
        <v>12.2</v>
      </c>
      <c r="G10" s="279" t="str">
        <f t="shared" si="0"/>
        <v>ITALY</v>
      </c>
      <c r="H10" s="91">
        <f t="shared" si="1"/>
        <v>15</v>
      </c>
      <c r="I10" s="280">
        <f t="shared" si="3"/>
        <v>8</v>
      </c>
      <c r="Q10">
        <v>10</v>
      </c>
      <c r="R10" t="s">
        <v>247</v>
      </c>
    </row>
    <row r="11" spans="1:21">
      <c r="A11">
        <f>IF(Nov!G15&gt;0,RANK(Nov!G15,Nov!$G$5:$G$96),"")</f>
        <v>61</v>
      </c>
      <c r="B11" t="str">
        <f>IF(Nov!A15&lt;&gt;"",Nov!A15,"")</f>
        <v>TAIWAN</v>
      </c>
      <c r="F11" s="156">
        <f t="shared" ca="1" si="2"/>
        <v>14.8</v>
      </c>
      <c r="G11" s="279" t="str">
        <f t="shared" si="0"/>
        <v>POLAND</v>
      </c>
      <c r="H11" s="91">
        <f t="shared" si="1"/>
        <v>16</v>
      </c>
      <c r="I11" s="280">
        <f t="shared" si="3"/>
        <v>9</v>
      </c>
      <c r="Q11">
        <v>11</v>
      </c>
      <c r="R11" t="s">
        <v>248</v>
      </c>
    </row>
    <row r="12" spans="1:21">
      <c r="A12">
        <f>IF(Nov!G16&gt;0,RANK(Nov!G16,Nov!$G$5:$G$96),"")</f>
        <v>28</v>
      </c>
      <c r="B12" t="str">
        <f>IF(Nov!A16&lt;&gt;"",Nov!A16,"")</f>
        <v>KOREA</v>
      </c>
      <c r="F12" s="156">
        <f t="shared" ca="1" si="2"/>
        <v>8.1999999999999993</v>
      </c>
      <c r="G12" s="279" t="str">
        <f t="shared" si="0"/>
        <v>CANADA</v>
      </c>
      <c r="H12" s="91">
        <f t="shared" si="1"/>
        <v>17</v>
      </c>
      <c r="I12" s="280">
        <f t="shared" si="3"/>
        <v>10</v>
      </c>
      <c r="Q12">
        <v>12</v>
      </c>
      <c r="R12" t="s">
        <v>249</v>
      </c>
    </row>
    <row r="13" spans="1:21">
      <c r="A13">
        <f>IF(Nov!G17&gt;0,RANK(Nov!G17,Nov!$G$5:$G$96),"")</f>
        <v>58</v>
      </c>
      <c r="B13" t="str">
        <f>IF(Nov!A17&lt;&gt;"",Nov!A17,"")</f>
        <v>SINGAPORE</v>
      </c>
      <c r="F13" s="156">
        <f t="shared" ca="1" si="2"/>
        <v>9.6</v>
      </c>
      <c r="G13" s="279" t="str">
        <f t="shared" si="0"/>
        <v>ROMANIA</v>
      </c>
      <c r="H13" s="91">
        <f t="shared" si="1"/>
        <v>18</v>
      </c>
      <c r="I13" s="280">
        <f t="shared" si="3"/>
        <v>11</v>
      </c>
    </row>
    <row r="14" spans="1:21">
      <c r="A14">
        <f>IF(Nov!G18&gt;0,RANK(Nov!G18,Nov!$G$5:$G$96),"")</f>
        <v>79</v>
      </c>
      <c r="B14" t="str">
        <f>IF(Nov!A18&lt;&gt;"",Nov!A18,"")</f>
        <v>THAILAND</v>
      </c>
      <c r="F14" s="156">
        <f t="shared" ca="1" si="2"/>
        <v>7.4</v>
      </c>
      <c r="G14" s="279" t="str">
        <f t="shared" si="0"/>
        <v>NETHERLANDS</v>
      </c>
      <c r="H14" s="91">
        <f t="shared" si="1"/>
        <v>22</v>
      </c>
      <c r="I14" s="280">
        <f t="shared" si="3"/>
        <v>12</v>
      </c>
      <c r="P14" t="s">
        <v>250</v>
      </c>
      <c r="Q14">
        <f ca="1">MONTH(TODAY())-1</f>
        <v>11</v>
      </c>
    </row>
    <row r="15" spans="1:21">
      <c r="A15">
        <f>IF(Nov!G19&gt;0,RANK(Nov!G19,Nov!$G$5:$G$96),"")</f>
        <v>43</v>
      </c>
      <c r="B15" t="str">
        <f>IF(Nov!A19&lt;&gt;"",Nov!A19,"")</f>
        <v>PHILIPPINES</v>
      </c>
      <c r="F15" s="156">
        <f t="shared" ca="1" si="2"/>
        <v>6.4</v>
      </c>
      <c r="G15" s="279" t="str">
        <f t="shared" si="0"/>
        <v>SPAIN</v>
      </c>
      <c r="H15" s="91">
        <f t="shared" si="1"/>
        <v>23</v>
      </c>
      <c r="I15" s="280">
        <f t="shared" si="3"/>
        <v>13</v>
      </c>
      <c r="U15" t="str">
        <f>CONCATENATE(VLOOKUP(E1,Q1:R12,2),"!$A$5:$K$100")</f>
        <v>Feb!$A$5:$K$100</v>
      </c>
    </row>
    <row r="16" spans="1:21">
      <c r="A16" t="str">
        <f>IF(Nov!G20&gt;0,RANK(Nov!G20,Nov!$G$5:$G$96),"")</f>
        <v/>
      </c>
      <c r="B16" t="str">
        <f>IF(Nov!A20&lt;&gt;"",Nov!A20,"")</f>
        <v/>
      </c>
      <c r="F16" s="156">
        <f t="shared" ca="1" si="2"/>
        <v>4.2</v>
      </c>
      <c r="G16" s="279" t="str">
        <f t="shared" si="0"/>
        <v>INDIA</v>
      </c>
      <c r="H16" s="91">
        <f t="shared" si="1"/>
        <v>24</v>
      </c>
      <c r="I16" s="280">
        <f t="shared" si="3"/>
        <v>14</v>
      </c>
    </row>
    <row r="17" spans="1:21">
      <c r="B17" t="str">
        <f>IF(Nov!A21&lt;&gt;"",Nov!A21,"")</f>
        <v>ASIA -OTHER</v>
      </c>
      <c r="F17" s="156">
        <f t="shared" ca="1" si="2"/>
        <v>7.5</v>
      </c>
      <c r="G17" s="279" t="str">
        <f t="shared" si="0"/>
        <v>BRAZIL</v>
      </c>
      <c r="H17" s="91">
        <f t="shared" si="1"/>
        <v>25</v>
      </c>
      <c r="I17" s="280">
        <f t="shared" si="3"/>
        <v>15</v>
      </c>
    </row>
    <row r="18" spans="1:21">
      <c r="A18">
        <f>IF(Nov!G22&gt;0,RANK(Nov!G22,Nov!$G$5:$G$96),"")</f>
        <v>64</v>
      </c>
      <c r="B18" t="str">
        <f>IF(Nov!A22&lt;&gt;"",Nov!A22,"")</f>
        <v>CYPRUS</v>
      </c>
      <c r="F18" s="156">
        <f t="shared" ca="1" si="2"/>
        <v>5.6</v>
      </c>
      <c r="G18" s="279" t="str">
        <f t="shared" si="0"/>
        <v>SWITZERLAND</v>
      </c>
      <c r="H18" s="91">
        <f t="shared" si="1"/>
        <v>26</v>
      </c>
      <c r="I18" s="280">
        <f t="shared" si="3"/>
        <v>16</v>
      </c>
    </row>
    <row r="19" spans="1:21">
      <c r="A19">
        <f>IF(Nov!G23&gt;0,RANK(Nov!G23,Nov!$G$5:$G$96),"")</f>
        <v>29</v>
      </c>
      <c r="B19" t="str">
        <f>IF(Nov!A23&lt;&gt;"",Nov!A23,"")</f>
        <v>TURKEY</v>
      </c>
      <c r="F19" s="156">
        <f t="shared" ca="1" si="2"/>
        <v>9.1999999999999993</v>
      </c>
      <c r="G19" s="279" t="str">
        <f t="shared" si="0"/>
        <v>KOREA</v>
      </c>
      <c r="H19" s="91">
        <f t="shared" si="1"/>
        <v>28</v>
      </c>
      <c r="I19" s="280">
        <f t="shared" si="3"/>
        <v>17</v>
      </c>
    </row>
    <row r="20" spans="1:21">
      <c r="A20">
        <f>IF(Nov!G24&gt;0,RANK(Nov!G24,Nov!$G$5:$G$96),"")</f>
        <v>48</v>
      </c>
      <c r="B20" t="str">
        <f>IF(Nov!A24&lt;&gt;"",Nov!A24,"")</f>
        <v>JORDAN</v>
      </c>
      <c r="F20" s="156">
        <f t="shared" ca="1" si="2"/>
        <v>5.9</v>
      </c>
      <c r="G20" s="279" t="str">
        <f t="shared" si="0"/>
        <v>TURKEY</v>
      </c>
      <c r="H20" s="91">
        <f t="shared" si="1"/>
        <v>29</v>
      </c>
      <c r="I20" s="280">
        <f>IF(I19="","",IF(I19+1&gt;$E$2,"",I19+1))</f>
        <v>18</v>
      </c>
    </row>
    <row r="21" spans="1:21">
      <c r="B21" t="str">
        <f>IF(Nov!A25&lt;&gt;"",Nov!A25,"")</f>
        <v>OTHER</v>
      </c>
      <c r="F21" s="156">
        <f t="shared" ca="1" si="2"/>
        <v>3.5999999999999996</v>
      </c>
      <c r="G21" s="279" t="str">
        <f t="shared" si="0"/>
        <v>AUSTRALIA</v>
      </c>
      <c r="H21" s="91">
        <f t="shared" si="1"/>
        <v>30</v>
      </c>
      <c r="I21" s="280">
        <f t="shared" si="3"/>
        <v>19</v>
      </c>
    </row>
    <row r="22" spans="1:21" ht="15.75" thickBot="1">
      <c r="A22" t="str">
        <f>IF(Nov!G26&gt;0,RANK(Nov!G26,Nov!$G$5:$G$96),"")</f>
        <v/>
      </c>
      <c r="B22" t="str">
        <f>IF(Nov!A26&lt;&gt;"",Nov!A26,"")</f>
        <v/>
      </c>
      <c r="F22" s="156">
        <f t="shared" ca="1" si="2"/>
        <v>4.4000000000000004</v>
      </c>
      <c r="G22" s="281" t="str">
        <f t="shared" si="0"/>
        <v>BELGIUM</v>
      </c>
      <c r="H22" s="282">
        <f t="shared" si="1"/>
        <v>31</v>
      </c>
      <c r="I22" s="283">
        <f t="shared" si="3"/>
        <v>20</v>
      </c>
    </row>
    <row r="23" spans="1:21" ht="15.75" thickTop="1">
      <c r="B23" t="str">
        <f>IF(Nov!A27&lt;&gt;"",Nov!A27,"")</f>
        <v>AFRICA</v>
      </c>
    </row>
    <row r="24" spans="1:21">
      <c r="A24">
        <f>IF(Nov!G28&gt;0,RANK(Nov!G28,Nov!$G$5:$G$96),"")</f>
        <v>39</v>
      </c>
      <c r="B24" t="str">
        <f>IF(Nov!A28&lt;&gt;"",Nov!A28,"")</f>
        <v>SOUTH AFRICA</v>
      </c>
    </row>
    <row r="25" spans="1:21">
      <c r="A25">
        <f>IF(Nov!G29&gt;0,RANK(Nov!G29,Nov!$G$5:$G$96),"")</f>
        <v>68</v>
      </c>
      <c r="B25" t="str">
        <f>IF(Nov!A29&lt;&gt;"",Nov!A29,"")</f>
        <v>EGYPT</v>
      </c>
    </row>
    <row r="26" spans="1:21">
      <c r="A26">
        <f>IF(Nov!G30&gt;0,RANK(Nov!G30,Nov!$G$5:$G$96),"")</f>
        <v>78</v>
      </c>
      <c r="B26" t="str">
        <f>IF(Nov!A30&lt;&gt;"",Nov!A30,"")</f>
        <v>MOROCCO</v>
      </c>
    </row>
    <row r="27" spans="1:21">
      <c r="A27">
        <f>IF(Nov!G31&gt;0,RANK(Nov!G31,Nov!$G$5:$G$96),"")</f>
        <v>72</v>
      </c>
      <c r="B27" t="str">
        <f>IF(Nov!A31&lt;&gt;"",Nov!A31,"")</f>
        <v>NIGERIA</v>
      </c>
    </row>
    <row r="28" spans="1:21">
      <c r="A28">
        <f>IF(Nov!G32&gt;0,RANK(Nov!G32,Nov!$G$5:$G$96),"")</f>
        <v>76</v>
      </c>
      <c r="B28" t="str">
        <f>IF(Nov!A32&lt;&gt;"",Nov!A32,"")</f>
        <v>KENYA</v>
      </c>
    </row>
    <row r="29" spans="1:21">
      <c r="B29" t="str">
        <f>IF(Nov!A33&lt;&gt;"",Nov!A33,"")</f>
        <v>OTHER</v>
      </c>
    </row>
    <row r="30" spans="1:21">
      <c r="A30" t="str">
        <f>IF(Nov!G34&gt;0,RANK(Nov!G34,Nov!$G$5:$G$96),"")</f>
        <v/>
      </c>
      <c r="B30" t="str">
        <f>IF(Nov!A34&lt;&gt;"",Nov!A34,"")</f>
        <v/>
      </c>
    </row>
    <row r="31" spans="1:21">
      <c r="B31" t="str">
        <f>IF(Nov!A35&lt;&gt;"",Nov!A35,"")</f>
        <v>EUROPE</v>
      </c>
      <c r="U31" t="str">
        <f>IF(I16&lt;&gt;"",CONCATENATE(G16,",",$U$15),"")</f>
        <v>INDIA,Feb!$A$5:$K$100</v>
      </c>
    </row>
    <row r="32" spans="1:21">
      <c r="B32" t="str">
        <f>IF(Nov!A36&lt;&gt;"",Nov!A36,"")</f>
        <v>NORDIC COUNTRIES</v>
      </c>
    </row>
    <row r="33" spans="1:21">
      <c r="A33">
        <f>IF(Nov!G37&gt;0,RANK(Nov!G37,Nov!$G$5:$G$96),"")</f>
        <v>47</v>
      </c>
      <c r="B33" t="str">
        <f>IF(Nov!A37&lt;&gt;"",Nov!A37,"")</f>
        <v xml:space="preserve">      FINLAND</v>
      </c>
    </row>
    <row r="34" spans="1:21">
      <c r="A34">
        <f>IF(Nov!G38&gt;0,RANK(Nov!G38,Nov!$G$5:$G$96),"")</f>
        <v>37</v>
      </c>
      <c r="B34" t="str">
        <f>IF(Nov!A38&lt;&gt;"",Nov!A38,"")</f>
        <v xml:space="preserve">      SWEDEN</v>
      </c>
      <c r="U34" t="str">
        <f>IF(I19&lt;&gt;"",CONCATENATE(G19,",",$U$15),"")</f>
        <v>KOREA,Feb!$A$5:$K$100</v>
      </c>
    </row>
    <row r="35" spans="1:21">
      <c r="A35">
        <f>IF(Nov!G39&gt;0,RANK(Nov!G39,Nov!$G$5:$G$96),"")</f>
        <v>50</v>
      </c>
      <c r="B35" t="str">
        <f>IF(Nov!A39&lt;&gt;"",Nov!A39,"")</f>
        <v xml:space="preserve">      NORWAY</v>
      </c>
    </row>
    <row r="36" spans="1:21">
      <c r="A36">
        <f>IF(Nov!G40&gt;0,RANK(Nov!G40,Nov!$G$5:$G$96),"")</f>
        <v>44</v>
      </c>
      <c r="B36" t="str">
        <f>IF(Nov!A40&lt;&gt;"",Nov!A40,"")</f>
        <v xml:space="preserve">      DENMARK</v>
      </c>
    </row>
    <row r="37" spans="1:21">
      <c r="A37">
        <f>IF(Nov!G41&gt;0,RANK(Nov!G41,Nov!$G$5:$G$96),"")</f>
        <v>11</v>
      </c>
      <c r="B37" t="str">
        <f>IF(Nov!A41&lt;&gt;"",Nov!A41,"")</f>
        <v>UNITED KINGDOM</v>
      </c>
    </row>
    <row r="38" spans="1:21">
      <c r="A38">
        <f>IF(Nov!G42&gt;0,RANK(Nov!G42,Nov!$G$5:$G$96),"")</f>
        <v>59</v>
      </c>
      <c r="B38" t="str">
        <f>IF(Nov!A42&lt;&gt;"",Nov!A42,"")</f>
        <v>IRELAND</v>
      </c>
      <c r="G38" s="109" t="str">
        <f t="shared" ref="G38" si="4">IF(H38&lt;&gt;"",INDEX($B$1:$B$100,MATCH(H38,$A$1:$A$100,0),1),"")</f>
        <v/>
      </c>
      <c r="H38" t="str">
        <f t="shared" ref="H38" si="5">IF(I38&lt;&gt;"",SMALL($A$1:$A$247,I38),"")</f>
        <v/>
      </c>
      <c r="U38" t="str">
        <f t="shared" ref="U38" si="6">IF(I38&lt;&gt;"",CONCATENATE(G38,",",$U$15),"")</f>
        <v/>
      </c>
    </row>
    <row r="39" spans="1:21">
      <c r="A39">
        <f>IF(Nov!G43&gt;0,RANK(Nov!G43,Nov!$G$5:$G$96),"")</f>
        <v>22</v>
      </c>
      <c r="B39" t="str">
        <f>IF(Nov!A43&lt;&gt;"",Nov!A43,"")</f>
        <v>NETHERLANDS</v>
      </c>
    </row>
    <row r="40" spans="1:21">
      <c r="A40">
        <f>IF(Nov!G44&gt;0,RANK(Nov!G44,Nov!$G$5:$G$96),"")</f>
        <v>31</v>
      </c>
      <c r="B40" t="str">
        <f>IF(Nov!A44&lt;&gt;"",Nov!A44,"")</f>
        <v>BELGIUM</v>
      </c>
    </row>
    <row r="41" spans="1:21">
      <c r="A41">
        <f>IF(Nov!G45&gt;0,RANK(Nov!G45,Nov!$G$5:$G$96),"")</f>
        <v>9</v>
      </c>
      <c r="B41" t="str">
        <f>IF(Nov!A45&lt;&gt;"",Nov!A45,"")</f>
        <v>FRANCE</v>
      </c>
    </row>
    <row r="42" spans="1:21">
      <c r="A42">
        <f>IF(Nov!G46&gt;0,RANK(Nov!G46,Nov!$G$5:$G$96),"")</f>
        <v>15</v>
      </c>
      <c r="B42" t="str">
        <f>IF(Nov!A46&lt;&gt;"",Nov!A46,"")</f>
        <v>ITALY</v>
      </c>
    </row>
    <row r="43" spans="1:21">
      <c r="A43">
        <f>IF(Nov!G47&gt;0,RANK(Nov!G47,Nov!$G$5:$G$96),"")</f>
        <v>26</v>
      </c>
      <c r="B43" t="str">
        <f>IF(Nov!A47&lt;&gt;"",Nov!A47,"")</f>
        <v>SWITZERLAND</v>
      </c>
    </row>
    <row r="44" spans="1:21">
      <c r="A44">
        <f>IF(Nov!G48&gt;0,RANK(Nov!G48,Nov!$G$5:$G$96),"")</f>
        <v>10</v>
      </c>
      <c r="B44" t="str">
        <f>IF(Nov!A48&lt;&gt;"",Nov!A48,"")</f>
        <v>GERMANY</v>
      </c>
    </row>
    <row r="45" spans="1:21">
      <c r="A45">
        <f>IF(Nov!G49&gt;0,RANK(Nov!G49,Nov!$G$5:$G$96),"")</f>
        <v>34</v>
      </c>
      <c r="B45" t="str">
        <f>IF(Nov!A49&lt;&gt;"",Nov!A49,"")</f>
        <v>AUSTRIA</v>
      </c>
    </row>
    <row r="46" spans="1:21">
      <c r="A46">
        <f>IF(Nov!G50&gt;0,RANK(Nov!G50,Nov!$G$5:$G$96),"")</f>
        <v>23</v>
      </c>
      <c r="B46" t="str">
        <f>IF(Nov!A50&lt;&gt;"",Nov!A50,"")</f>
        <v>SPAIN</v>
      </c>
    </row>
    <row r="47" spans="1:21">
      <c r="A47">
        <f>IF(Nov!G51&gt;0,RANK(Nov!G51,Nov!$G$5:$G$96),"")</f>
        <v>56</v>
      </c>
      <c r="B47" t="str">
        <f>IF(Nov!A51&lt;&gt;"",Nov!A51,"")</f>
        <v>PORTUGAL</v>
      </c>
    </row>
    <row r="48" spans="1:21">
      <c r="A48" t="str">
        <f>IF(Nov!G52&gt;0,RANK(Nov!G52,Nov!$G$5:$G$96),"")</f>
        <v/>
      </c>
      <c r="B48" t="str">
        <f>IF(Nov!A52&lt;&gt;"",Nov!A52,"")</f>
        <v/>
      </c>
    </row>
    <row r="49" spans="1:2">
      <c r="B49" t="str">
        <f>IF(Nov!A53&lt;&gt;"",Nov!A53,"")</f>
        <v>TOTAL CIS</v>
      </c>
    </row>
    <row r="50" spans="1:2">
      <c r="A50">
        <f>IF(Nov!G54&gt;0,RANK(Nov!G54,Nov!$G$5:$G$96),"")</f>
        <v>7</v>
      </c>
      <c r="B50" t="str">
        <f>IF(Nov!A54&lt;&gt;"",Nov!A54,"")</f>
        <v>RUSSIA</v>
      </c>
    </row>
    <row r="51" spans="1:2">
      <c r="A51">
        <f>IF(Nov!G55&gt;0,RANK(Nov!G55,Nov!$G$5:$G$96),"")</f>
        <v>12</v>
      </c>
      <c r="B51" t="str">
        <f>IF(Nov!A55&lt;&gt;"",Nov!A55,"")</f>
        <v>UKRAINE</v>
      </c>
    </row>
    <row r="52" spans="1:2">
      <c r="A52">
        <f>IF(Nov!G56&gt;0,RANK(Nov!G56,Nov!$G$5:$G$96),"")</f>
        <v>38</v>
      </c>
      <c r="B52" t="str">
        <f>IF(Nov!A56&lt;&gt;"",Nov!A56,"")</f>
        <v>BELARUS</v>
      </c>
    </row>
    <row r="53" spans="1:2">
      <c r="A53">
        <f>IF(Nov!G57&gt;0,RANK(Nov!G57,Nov!$G$5:$G$96),"")</f>
        <v>57</v>
      </c>
      <c r="B53" t="str">
        <f>IF(Nov!A57&lt;&gt;"",Nov!A57,"")</f>
        <v>REP. OF  MOLDOVA</v>
      </c>
    </row>
    <row r="54" spans="1:2">
      <c r="A54">
        <f>IF(Nov!G58&gt;0,RANK(Nov!G58,Nov!$G$5:$G$96),"")</f>
        <v>75</v>
      </c>
      <c r="B54" t="str">
        <f>IF(Nov!A58&lt;&gt;"",Nov!A58,"")</f>
        <v>UZBEKISTAN</v>
      </c>
    </row>
    <row r="55" spans="1:2">
      <c r="A55">
        <f>IF(Nov!G59&gt;0,RANK(Nov!G59,Nov!$G$5:$G$96),"")</f>
        <v>62</v>
      </c>
      <c r="B55" t="str">
        <f>IF(Nov!A59&lt;&gt;"",Nov!A59,"")</f>
        <v>KAZAKHISTAN</v>
      </c>
    </row>
    <row r="56" spans="1:2">
      <c r="B56" t="str">
        <f>IF(Nov!A60&lt;&gt;"",Nov!A60,"")</f>
        <v>OTHER CIS</v>
      </c>
    </row>
    <row r="57" spans="1:2">
      <c r="A57" t="str">
        <f>IF(Nov!G61&gt;0,RANK(Nov!G61,Nov!$G$5:$G$96),"")</f>
        <v/>
      </c>
      <c r="B57" t="str">
        <f>IF(Nov!A61&lt;&gt;"",Nov!A61,"")</f>
        <v/>
      </c>
    </row>
    <row r="58" spans="1:2">
      <c r="A58">
        <f>IF(Nov!G62&gt;0,RANK(Nov!G62,Nov!$G$5:$G$96),"")</f>
        <v>55</v>
      </c>
      <c r="B58" t="str">
        <f>IF(Nov!A62&lt;&gt;"",Nov!A62,"")</f>
        <v>GEORGIA</v>
      </c>
    </row>
    <row r="59" spans="1:2">
      <c r="A59">
        <f>IF(Nov!G63&gt;0,RANK(Nov!G63,Nov!$G$5:$G$96),"")</f>
        <v>74</v>
      </c>
      <c r="B59" t="str">
        <f>IF(Nov!A63&lt;&gt;"",Nov!A63,"")</f>
        <v>ESTONIA</v>
      </c>
    </row>
    <row r="60" spans="1:2">
      <c r="A60">
        <f>IF(Nov!G64&gt;0,RANK(Nov!G64,Nov!$G$5:$G$96),"")</f>
        <v>45</v>
      </c>
      <c r="B60" t="str">
        <f>IF(Nov!A64&lt;&gt;"",Nov!A64,"")</f>
        <v>LITHUANIA</v>
      </c>
    </row>
    <row r="61" spans="1:2">
      <c r="A61">
        <f>IF(Nov!G65&gt;0,RANK(Nov!G65,Nov!$G$5:$G$96),"")</f>
        <v>52</v>
      </c>
      <c r="B61" t="str">
        <f>IF(Nov!A65&lt;&gt;"",Nov!A65,"")</f>
        <v>LATVIA</v>
      </c>
    </row>
    <row r="62" spans="1:2">
      <c r="A62" t="str">
        <f>IF(Nov!G66&gt;0,RANK(Nov!G66,Nov!$G$5:$G$96),"")</f>
        <v/>
      </c>
      <c r="B62" t="str">
        <f>IF(Nov!A66&lt;&gt;"",Nov!A66,"")</f>
        <v/>
      </c>
    </row>
    <row r="63" spans="1:2">
      <c r="A63">
        <f>IF(Nov!G67&gt;0,RANK(Nov!G67,Nov!$G$5:$G$96),"")</f>
        <v>16</v>
      </c>
      <c r="B63" t="str">
        <f>IF(Nov!A67&lt;&gt;"",Nov!A67,"")</f>
        <v>POLAND</v>
      </c>
    </row>
    <row r="64" spans="1:2">
      <c r="A64">
        <f>IF(Nov!G68&gt;0,RANK(Nov!G68,Nov!$G$5:$G$96),"")</f>
        <v>42</v>
      </c>
      <c r="B64" t="str">
        <f>IF(Nov!A68&lt;&gt;"",Nov!A68,"")</f>
        <v>HUNGARY</v>
      </c>
    </row>
    <row r="65" spans="1:2">
      <c r="A65">
        <f>IF(Nov!G69&gt;0,RANK(Nov!G69,Nov!$G$5:$G$96),"")</f>
        <v>70</v>
      </c>
      <c r="B65" t="str">
        <f>IF(Nov!A69&lt;&gt;"",Nov!A69,"")</f>
        <v>CROATIA</v>
      </c>
    </row>
    <row r="66" spans="1:2">
      <c r="A66">
        <f>IF(Nov!G70&gt;0,RANK(Nov!G70,Nov!$G$5:$G$96),"")</f>
        <v>80</v>
      </c>
      <c r="B66" t="str">
        <f>IF(Nov!A70&lt;&gt;"",Nov!A70,"")</f>
        <v>SLOVENIA</v>
      </c>
    </row>
    <row r="67" spans="1:2">
      <c r="A67">
        <f>IF(Nov!G71&gt;0,RANK(Nov!G71,Nov!$G$5:$G$96),"")</f>
        <v>71</v>
      </c>
      <c r="B67" t="str">
        <f>IF(Nov!A71&lt;&gt;"",Nov!A71,"")</f>
        <v>SERBIA</v>
      </c>
    </row>
    <row r="68" spans="1:2">
      <c r="A68">
        <f>IF(Nov!G72&gt;0,RANK(Nov!G72,Nov!$G$5:$G$96),"")</f>
        <v>18</v>
      </c>
      <c r="B68" t="str">
        <f>IF(Nov!A72&lt;&gt;"",Nov!A72,"")</f>
        <v>ROMANIA</v>
      </c>
    </row>
    <row r="69" spans="1:2">
      <c r="A69">
        <f>IF(Nov!G73&gt;0,RANK(Nov!G73,Nov!$G$5:$G$96),"")</f>
        <v>54</v>
      </c>
      <c r="B69" t="str">
        <f>IF(Nov!A73&lt;&gt;"",Nov!A73,"")</f>
        <v>BULGARIA</v>
      </c>
    </row>
    <row r="70" spans="1:2">
      <c r="A70">
        <f>IF(Nov!G74&gt;0,RANK(Nov!G74,Nov!$G$5:$G$96),"")</f>
        <v>40</v>
      </c>
      <c r="B70" t="str">
        <f>IF(Nov!A74&lt;&gt;"",Nov!A74,"")</f>
        <v>CZECH REP.</v>
      </c>
    </row>
    <row r="71" spans="1:2">
      <c r="A71">
        <f>IF(Nov!G75&gt;0,RANK(Nov!G75,Nov!$G$5:$G$96),"")</f>
        <v>49</v>
      </c>
      <c r="B71" t="str">
        <f>IF(Nov!A75&lt;&gt;"",Nov!A75,"")</f>
        <v>SLOVAKIA</v>
      </c>
    </row>
    <row r="72" spans="1:2">
      <c r="A72">
        <f>IF(Nov!G76&gt;0,RANK(Nov!G76,Nov!$G$5:$G$96),"")</f>
        <v>35</v>
      </c>
      <c r="B72" t="str">
        <f>IF(Nov!A76&lt;&gt;"",Nov!A76,"")</f>
        <v>GREECE</v>
      </c>
    </row>
    <row r="73" spans="1:2">
      <c r="B73" t="str">
        <f>IF(Nov!A77&lt;&gt;"",Nov!A77,"")</f>
        <v xml:space="preserve"> OTHER</v>
      </c>
    </row>
    <row r="74" spans="1:2">
      <c r="A74" t="str">
        <f>IF(Nov!G78&gt;0,RANK(Nov!G78,Nov!$G$5:$G$96),"")</f>
        <v/>
      </c>
      <c r="B74" t="str">
        <f>IF(Nov!A78&lt;&gt;"",Nov!A78,"")</f>
        <v/>
      </c>
    </row>
    <row r="75" spans="1:2">
      <c r="B75" t="str">
        <f>IF(Nov!A79&lt;&gt;"",Nov!A79,"")</f>
        <v>AMERICA</v>
      </c>
    </row>
    <row r="76" spans="1:2">
      <c r="A76">
        <f>IF(Nov!G80&gt;0,RANK(Nov!G80,Nov!$G$5:$G$96),"")</f>
        <v>4</v>
      </c>
      <c r="B76" t="str">
        <f>IF(Nov!A80&lt;&gt;"",Nov!A80,"")</f>
        <v>UNITED STATES</v>
      </c>
    </row>
    <row r="77" spans="1:2">
      <c r="A77">
        <f>IF(Nov!G81&gt;0,RANK(Nov!G81,Nov!$G$5:$G$96),"")</f>
        <v>17</v>
      </c>
      <c r="B77" t="str">
        <f>IF(Nov!A81&lt;&gt;"",Nov!A81,"")</f>
        <v>CANADA</v>
      </c>
    </row>
    <row r="78" spans="1:2">
      <c r="A78">
        <f>IF(Nov!G82&gt;0,RANK(Nov!G82,Nov!$G$5:$G$96),"")</f>
        <v>36</v>
      </c>
      <c r="B78" t="str">
        <f>IF(Nov!A82&lt;&gt;"",Nov!A82,"")</f>
        <v>MEXICO</v>
      </c>
    </row>
    <row r="79" spans="1:2">
      <c r="B79" t="str">
        <f>IF(Nov!A83&lt;&gt;"",Nov!A83,"")</f>
        <v>CENTRAL &amp; SOUTH  AMERICA</v>
      </c>
    </row>
    <row r="80" spans="1:2">
      <c r="A80">
        <f>IF(Nov!G84&gt;0,RANK(Nov!G84,Nov!$G$5:$G$96),"")</f>
        <v>76</v>
      </c>
      <c r="B80" t="str">
        <f>IF(Nov!A84&lt;&gt;"",Nov!A84,"")</f>
        <v>URUGUAY</v>
      </c>
    </row>
    <row r="81" spans="1:2">
      <c r="A81">
        <f>IF(Nov!G85&gt;0,RANK(Nov!G85,Nov!$G$5:$G$96),"")</f>
        <v>33</v>
      </c>
      <c r="B81" t="str">
        <f>IF(Nov!A85&lt;&gt;"",Nov!A85,"")</f>
        <v>ARGENTINA</v>
      </c>
    </row>
    <row r="82" spans="1:2">
      <c r="A82">
        <f>IF(Nov!G86&gt;0,RANK(Nov!G86,Nov!$G$5:$G$96),"")</f>
        <v>25</v>
      </c>
      <c r="B82" t="str">
        <f>IF(Nov!A86&lt;&gt;"",Nov!A86,"")</f>
        <v>BRAZIL</v>
      </c>
    </row>
    <row r="83" spans="1:2">
      <c r="A83">
        <f>IF(Nov!G87&gt;0,RANK(Nov!G87,Nov!$G$5:$G$96),"")</f>
        <v>66</v>
      </c>
      <c r="B83" t="str">
        <f>IF(Nov!A87&lt;&gt;"",Nov!A87,"")</f>
        <v>CHILE</v>
      </c>
    </row>
    <row r="84" spans="1:2">
      <c r="A84">
        <f>IF(Nov!G88&gt;0,RANK(Nov!G88,Nov!$G$5:$G$96),"")</f>
        <v>53</v>
      </c>
      <c r="B84" t="str">
        <f>IF(Nov!A88&lt;&gt;"",Nov!A88,"")</f>
        <v>COLOMBIA</v>
      </c>
    </row>
    <row r="85" spans="1:2">
      <c r="A85">
        <f>IF(Nov!G89&gt;0,RANK(Nov!G89,Nov!$G$5:$G$96),"")</f>
        <v>81</v>
      </c>
      <c r="B85" t="str">
        <f>IF(Nov!A89&lt;&gt;"",Nov!A89,"")</f>
        <v>VENEZUELA</v>
      </c>
    </row>
    <row r="86" spans="1:2">
      <c r="A86" t="str">
        <f>IF(Nov!G90&gt;0,RANK(Nov!G90,Nov!$G$5:$G$96),"")</f>
        <v/>
      </c>
      <c r="B86" t="str">
        <f>IF(Nov!A90&lt;&gt;"",Nov!A90,"")</f>
        <v/>
      </c>
    </row>
    <row r="87" spans="1:2">
      <c r="B87" t="str">
        <f>IF(Nov!A91&lt;&gt;"",Nov!A91,"")</f>
        <v>OCEANIA</v>
      </c>
    </row>
    <row r="88" spans="1:2">
      <c r="A88">
        <f>IF(Nov!G92&gt;0,RANK(Nov!G92,Nov!$G$5:$G$96),"")</f>
        <v>30</v>
      </c>
      <c r="B88" t="str">
        <f>IF(Nov!A92&lt;&gt;"",Nov!A92,"")</f>
        <v>AUSTRALIA</v>
      </c>
    </row>
    <row r="89" spans="1:2">
      <c r="A89">
        <f>IF(Nov!G93&gt;0,RANK(Nov!G93,Nov!$G$5:$G$96),"")</f>
        <v>73</v>
      </c>
      <c r="B89" t="str">
        <f>IF(Nov!A93&lt;&gt;"",Nov!A93,"")</f>
        <v>NEW ZEALAND</v>
      </c>
    </row>
    <row r="90" spans="1:2">
      <c r="B90" t="str">
        <f>IF(Nov!A94&lt;&gt;"",Nov!A94,"")</f>
        <v>OTHER</v>
      </c>
    </row>
    <row r="91" spans="1:2">
      <c r="A91" t="str">
        <f>IF(Nov!G95&gt;0,RANK(Nov!G95,Nov!$G$5:$G$96),"")</f>
        <v/>
      </c>
      <c r="B91" t="str">
        <f>IF(Nov!A95&lt;&gt;"",Nov!A95,"")</f>
        <v/>
      </c>
    </row>
    <row r="92" spans="1:2">
      <c r="B92" t="str">
        <f>IF(Nov!A96&lt;&gt;"",Nov!A96,"")</f>
        <v>NOT KNOWN</v>
      </c>
    </row>
    <row r="93" spans="1:2">
      <c r="A93" t="str">
        <f>IF(Nov!G97&gt;0,RANK(Nov!G101,Nov!$G$5:$G$96),"")</f>
        <v/>
      </c>
      <c r="B93" t="str">
        <f>IF(Nov!A97&lt;&gt;"",Nov!A97,"")</f>
        <v/>
      </c>
    </row>
    <row r="94" spans="1:2">
      <c r="A94" t="str">
        <f>IF(Nov!G98&gt;0,RANK(Nov!G102,Nov!$G$5:$G$96),"")</f>
        <v/>
      </c>
      <c r="B94" t="str">
        <f>IF(Nov!A98&lt;&gt;"",Nov!A98,"")</f>
        <v/>
      </c>
    </row>
  </sheetData>
  <sheetProtection algorithmName="SHA-512" hashValue="yf8Kr7j7pqzVS6/LXs9enJdb+ss4y/w/vXFhzjAWwB3rnX5P0Yasd+GmMQO1I2Q2Ph+rZSwVjimJy9cmP39lcw==" saltValue="63BCEx/MRE/tjt/2+/TXLw==" spinCount="100000" sheet="1" objects="1" scenarios="1"/>
  <dataValidations count="2">
    <dataValidation type="whole" allowBlank="1" showInputMessage="1" showErrorMessage="1" sqref="E2" xr:uid="{00000000-0002-0000-1100-000000000000}">
      <formula1>1</formula1>
      <formula2>20</formula2>
    </dataValidation>
    <dataValidation type="whole" allowBlank="1" showInputMessage="1" showErrorMessage="1" prompt="טווח החודשים שניתן לבחור הוא 1 עד חודש אחד פחות מנוכחי" sqref="E1" xr:uid="{00000000-0002-0000-1100-000001000000}">
      <formula1>2</formula1>
      <formula2>Q14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93"/>
  <sheetViews>
    <sheetView workbookViewId="0">
      <selection activeCell="B17" sqref="B17:N18"/>
    </sheetView>
  </sheetViews>
  <sheetFormatPr defaultRowHeight="15"/>
  <cols>
    <col min="1" max="1" width="26.7109375" bestFit="1" customWidth="1"/>
    <col min="2" max="2" width="13.28515625" bestFit="1" customWidth="1"/>
    <col min="3" max="3" width="15.28515625" bestFit="1" customWidth="1"/>
    <col min="4" max="4" width="12.5703125" bestFit="1" customWidth="1"/>
    <col min="5" max="5" width="13.85546875" style="184" customWidth="1"/>
    <col min="6" max="6" width="15.28515625" style="184" bestFit="1" customWidth="1"/>
    <col min="8" max="8" width="8.85546875" bestFit="1" customWidth="1"/>
    <col min="9" max="9" width="13.28515625" bestFit="1" customWidth="1"/>
    <col min="16" max="17" width="13.28515625" bestFit="1" customWidth="1"/>
  </cols>
  <sheetData>
    <row r="1" spans="1:14" ht="15.75" thickBot="1">
      <c r="A1" s="167"/>
      <c r="B1" s="170" t="s">
        <v>216</v>
      </c>
      <c r="C1" s="171" t="s">
        <v>218</v>
      </c>
      <c r="D1" s="171" t="s">
        <v>219</v>
      </c>
      <c r="E1" s="183" t="s">
        <v>217</v>
      </c>
      <c r="F1" s="183" t="s">
        <v>220</v>
      </c>
      <c r="G1" s="171" t="s">
        <v>221</v>
      </c>
      <c r="H1" s="171" t="s">
        <v>222</v>
      </c>
      <c r="I1" s="171" t="s">
        <v>223</v>
      </c>
      <c r="J1" s="171" t="s">
        <v>224</v>
      </c>
      <c r="K1" s="171" t="s">
        <v>225</v>
      </c>
      <c r="L1" s="171" t="s">
        <v>226</v>
      </c>
      <c r="M1" s="171" t="s">
        <v>227</v>
      </c>
      <c r="N1" s="172" t="s">
        <v>228</v>
      </c>
    </row>
    <row r="2" spans="1:14">
      <c r="A2" s="168" t="str">
        <f>Dec!A5</f>
        <v>TOTAL</v>
      </c>
      <c r="B2" s="182">
        <v>1556</v>
      </c>
      <c r="C2" s="181">
        <f>SUM(C5:C93)</f>
        <v>327300.2</v>
      </c>
      <c r="D2" s="181">
        <f>SUM(D5:D93)</f>
        <v>349358.09999999992</v>
      </c>
      <c r="E2" s="181">
        <f t="shared" ref="E2:M2" si="0">SUM(E5:E93)</f>
        <v>439385.5</v>
      </c>
      <c r="F2" s="181">
        <f t="shared" si="0"/>
        <v>528136.29999999993</v>
      </c>
      <c r="G2" s="181">
        <f t="shared" si="0"/>
        <v>532680.6</v>
      </c>
      <c r="H2" s="181">
        <f t="shared" si="0"/>
        <v>485702.49999999988</v>
      </c>
      <c r="I2" s="181">
        <f t="shared" si="0"/>
        <v>425832.5</v>
      </c>
      <c r="J2" s="181">
        <f t="shared" si="0"/>
        <v>390154.69999999995</v>
      </c>
      <c r="K2" s="181">
        <f t="shared" si="0"/>
        <v>419434.49999999994</v>
      </c>
      <c r="L2" s="181">
        <f t="shared" si="0"/>
        <v>635912.5</v>
      </c>
      <c r="M2" s="181">
        <f t="shared" si="0"/>
        <v>523560.7</v>
      </c>
      <c r="N2" s="181">
        <f>SUM(N5:N93)</f>
        <v>0</v>
      </c>
    </row>
    <row r="3" spans="1:14">
      <c r="A3" s="168" t="str">
        <f>Dec!A6</f>
        <v>ASIA</v>
      </c>
      <c r="B3" s="166"/>
      <c r="C3" s="122"/>
      <c r="D3" s="174">
        <f>B3*Feb!B6</f>
        <v>0</v>
      </c>
      <c r="E3" s="173"/>
      <c r="F3" s="173"/>
      <c r="G3" s="122"/>
      <c r="H3" s="122"/>
      <c r="I3" s="122"/>
      <c r="J3" s="122"/>
      <c r="K3" s="122"/>
      <c r="L3" s="122"/>
      <c r="M3" s="122"/>
      <c r="N3" s="122"/>
    </row>
    <row r="4" spans="1:14">
      <c r="A4" s="168"/>
      <c r="B4" s="166"/>
      <c r="C4" s="122"/>
      <c r="D4" s="174">
        <f>B4*Feb!B7</f>
        <v>0</v>
      </c>
      <c r="E4" s="173"/>
      <c r="F4" s="173"/>
      <c r="G4" s="122"/>
      <c r="H4" s="122"/>
      <c r="I4" s="122"/>
      <c r="J4" s="122"/>
      <c r="K4" s="122"/>
      <c r="L4" s="122"/>
      <c r="M4" s="122"/>
      <c r="N4" s="122"/>
    </row>
    <row r="5" spans="1:14">
      <c r="A5" s="168" t="str">
        <f>Dec!A8</f>
        <v>ASIA (FAR EAST)</v>
      </c>
      <c r="B5" s="166"/>
      <c r="C5" s="122"/>
      <c r="D5" s="174">
        <f>B5*Feb!B8</f>
        <v>0</v>
      </c>
      <c r="E5" s="173"/>
      <c r="F5" s="173"/>
      <c r="G5" s="122"/>
      <c r="H5" s="122"/>
      <c r="I5" s="122"/>
      <c r="J5" s="122"/>
      <c r="K5" s="122"/>
      <c r="L5" s="122"/>
      <c r="M5" s="122"/>
      <c r="N5" s="122"/>
    </row>
    <row r="6" spans="1:14">
      <c r="A6" s="168" t="str">
        <f>Dec!A9</f>
        <v>INDIA</v>
      </c>
      <c r="B6" s="293">
        <v>1288</v>
      </c>
      <c r="C6" s="294">
        <f>B6*Jan!B9</f>
        <v>2318.4</v>
      </c>
      <c r="D6" s="295">
        <f>B6*Feb!B9</f>
        <v>3091.2</v>
      </c>
      <c r="E6" s="294">
        <f>B6*Mar!B9</f>
        <v>5280.7999999999993</v>
      </c>
      <c r="F6" s="294">
        <f>B6*Apr!B9</f>
        <v>8372</v>
      </c>
      <c r="G6" s="185">
        <f>B6*May!B9</f>
        <v>16744</v>
      </c>
      <c r="H6" s="185">
        <f>B6*Jun!B9</f>
        <v>4508</v>
      </c>
      <c r="I6" s="185">
        <f>B6*Jul!B9</f>
        <v>3091.2</v>
      </c>
      <c r="J6" s="185">
        <f>B6*Aug!B9</f>
        <v>2318.4</v>
      </c>
      <c r="K6" s="185">
        <f>B6*Sep!B9</f>
        <v>5152</v>
      </c>
      <c r="L6" s="185">
        <f>Oct!B9*B6</f>
        <v>11463.2</v>
      </c>
      <c r="M6" s="185">
        <f>B6*Nov!B9</f>
        <v>7728</v>
      </c>
      <c r="N6" s="185">
        <f>B6*Dec!B9</f>
        <v>0</v>
      </c>
    </row>
    <row r="7" spans="1:14">
      <c r="A7" s="168" t="str">
        <f>Dec!A10</f>
        <v>MALAYSIA</v>
      </c>
      <c r="B7" s="293">
        <v>1135</v>
      </c>
      <c r="C7" s="294">
        <f>B7*Jan!B10</f>
        <v>681</v>
      </c>
      <c r="D7" s="295">
        <f>B7*Feb!B10</f>
        <v>794.5</v>
      </c>
      <c r="E7" s="294">
        <f>B7*Mar!B10</f>
        <v>1135</v>
      </c>
      <c r="F7" s="294">
        <f>B7*Apr!B10</f>
        <v>681</v>
      </c>
      <c r="G7" s="185">
        <f>B7*May!B10</f>
        <v>794.5</v>
      </c>
      <c r="H7" s="185">
        <f>B7*Jun!B10</f>
        <v>340.5</v>
      </c>
      <c r="I7" s="185">
        <f>B7*Jul!B10</f>
        <v>227</v>
      </c>
      <c r="J7" s="185">
        <f>B7*Aug!B10</f>
        <v>340.5</v>
      </c>
      <c r="K7" s="185">
        <f>B7*Sep!B10</f>
        <v>227</v>
      </c>
      <c r="L7" s="185">
        <f>Oct!B10*B7</f>
        <v>794.5</v>
      </c>
      <c r="M7" s="185">
        <f>B7*Nov!B10</f>
        <v>2724</v>
      </c>
      <c r="N7" s="185">
        <f>B7*Dec!B10</f>
        <v>0</v>
      </c>
    </row>
    <row r="8" spans="1:14">
      <c r="A8" s="168" t="str">
        <f>Dec!A11</f>
        <v>INDONESIA</v>
      </c>
      <c r="B8" s="293">
        <v>972</v>
      </c>
      <c r="C8" s="294">
        <f>B8*Jan!B11</f>
        <v>2332.7999999999997</v>
      </c>
      <c r="D8" s="295">
        <f>B8*Feb!B11</f>
        <v>2916</v>
      </c>
      <c r="E8" s="294">
        <f>B8*Mar!B11</f>
        <v>6220.8</v>
      </c>
      <c r="F8" s="294">
        <f>B8*Apr!B11</f>
        <v>2916</v>
      </c>
      <c r="G8" s="185">
        <f>B8*May!B11</f>
        <v>2721.6</v>
      </c>
      <c r="H8" s="185">
        <f>B8*Jun!B11</f>
        <v>3013.2000000000003</v>
      </c>
      <c r="I8" s="185">
        <f>B8*Jul!B11</f>
        <v>1166.3999999999999</v>
      </c>
      <c r="J8" s="185">
        <f>B8*Aug!B11</f>
        <v>388.8</v>
      </c>
      <c r="K8" s="185">
        <f>B8*Sep!B11</f>
        <v>2332.7999999999997</v>
      </c>
      <c r="L8" s="185">
        <f>Oct!B11*B8</f>
        <v>3013.2000000000003</v>
      </c>
      <c r="M8" s="185">
        <f>B8*Nov!B11</f>
        <v>4179.5999999999995</v>
      </c>
      <c r="N8" s="185">
        <f>B8*Dec!B11</f>
        <v>0</v>
      </c>
    </row>
    <row r="9" spans="1:14">
      <c r="A9" s="168" t="str">
        <f>Dec!A12</f>
        <v>HONG KONG</v>
      </c>
      <c r="B9" s="293">
        <v>874</v>
      </c>
      <c r="C9" s="294">
        <f>B9*Jan!B12</f>
        <v>349.6</v>
      </c>
      <c r="D9" s="295">
        <f>B9*Feb!B12</f>
        <v>174.8</v>
      </c>
      <c r="E9" s="294">
        <f>B9*Mar!B12</f>
        <v>524.4</v>
      </c>
      <c r="F9" s="294">
        <f>B9*Apr!B12</f>
        <v>699.2</v>
      </c>
      <c r="G9" s="185">
        <f>B9*May!B12</f>
        <v>874</v>
      </c>
      <c r="H9" s="185">
        <f>B9*Jun!B12</f>
        <v>699.2</v>
      </c>
      <c r="I9" s="185">
        <f>B9*Jul!B12</f>
        <v>786.6</v>
      </c>
      <c r="J9" s="185">
        <f>B9*Aug!B12</f>
        <v>524.4</v>
      </c>
      <c r="K9" s="185">
        <f>B9*Sep!B12</f>
        <v>524.4</v>
      </c>
      <c r="L9" s="185">
        <f>Oct!B12*B9</f>
        <v>1048.8</v>
      </c>
      <c r="M9" s="185">
        <f>B9*Nov!B12</f>
        <v>611.79999999999995</v>
      </c>
      <c r="N9" s="185">
        <f>B9*Dec!B12</f>
        <v>0</v>
      </c>
    </row>
    <row r="10" spans="1:14">
      <c r="A10" s="168" t="str">
        <f>Dec!A13</f>
        <v>CHINA</v>
      </c>
      <c r="B10" s="293">
        <v>874</v>
      </c>
      <c r="C10" s="294">
        <f>B10*Jan!B13</f>
        <v>8040.7999999999993</v>
      </c>
      <c r="D10" s="295">
        <f>B10*Feb!B13</f>
        <v>7166.7999999999993</v>
      </c>
      <c r="E10" s="294">
        <f>B10*Mar!B13</f>
        <v>9264.4</v>
      </c>
      <c r="F10" s="294">
        <f>B10*Apr!B13</f>
        <v>6817.2</v>
      </c>
      <c r="G10" s="185">
        <f>B10*May!B13</f>
        <v>11274.6</v>
      </c>
      <c r="H10" s="185">
        <f>B10*Jun!B13</f>
        <v>7254.2000000000007</v>
      </c>
      <c r="I10" s="185">
        <f>B10*Jul!B13</f>
        <v>6642.4</v>
      </c>
      <c r="J10" s="185">
        <f>B10*Aug!B13</f>
        <v>5855.8</v>
      </c>
      <c r="K10" s="185">
        <f>B10*Sep!B13</f>
        <v>8040.8000000000011</v>
      </c>
      <c r="L10" s="185">
        <f>Oct!B13*B10</f>
        <v>11536.800000000001</v>
      </c>
      <c r="M10" s="185">
        <f>B10*Nov!B13</f>
        <v>9963.6</v>
      </c>
      <c r="N10" s="185">
        <f>B10*Dec!B13</f>
        <v>0</v>
      </c>
    </row>
    <row r="11" spans="1:14">
      <c r="A11" s="168" t="str">
        <f>Dec!A14</f>
        <v>JAPAN</v>
      </c>
      <c r="B11" s="293">
        <v>1417</v>
      </c>
      <c r="C11" s="294">
        <f>B11*Jan!B14</f>
        <v>1842.1000000000001</v>
      </c>
      <c r="D11" s="295">
        <f>B11*Feb!B14</f>
        <v>1700.3999999999999</v>
      </c>
      <c r="E11" s="294">
        <f>B11*Mar!B14</f>
        <v>2267.2000000000003</v>
      </c>
      <c r="F11" s="294">
        <f>B11*Apr!B14</f>
        <v>1417</v>
      </c>
      <c r="G11" s="185">
        <f>B11*May!B14</f>
        <v>2125.5</v>
      </c>
      <c r="H11" s="185">
        <f>B11*Jun!B14</f>
        <v>1842.1000000000001</v>
      </c>
      <c r="I11" s="185">
        <f>B11*Jul!B14</f>
        <v>1983.8</v>
      </c>
      <c r="J11" s="185">
        <f>B11*Aug!B14</f>
        <v>1842.1000000000001</v>
      </c>
      <c r="K11" s="185">
        <f>B11*Sep!B14</f>
        <v>2267.2000000000003</v>
      </c>
      <c r="L11" s="185">
        <f>Oct!B14*B11</f>
        <v>1983.8</v>
      </c>
      <c r="M11" s="185">
        <f>B11*Nov!B14</f>
        <v>2550.6</v>
      </c>
      <c r="N11" s="185">
        <f>B11*Dec!B14</f>
        <v>0</v>
      </c>
    </row>
    <row r="12" spans="1:14">
      <c r="A12" s="168" t="str">
        <f>Dec!A15</f>
        <v>TAIWAN</v>
      </c>
      <c r="B12" s="293">
        <v>1738</v>
      </c>
      <c r="C12" s="294">
        <f>B12*Jan!B15</f>
        <v>1564.2</v>
      </c>
      <c r="D12" s="295">
        <f>B12*Feb!B15</f>
        <v>1390.4</v>
      </c>
      <c r="E12" s="294">
        <f>B12*Mar!B15</f>
        <v>1042.8</v>
      </c>
      <c r="F12" s="294">
        <f>B12*Apr!B15</f>
        <v>1564.2</v>
      </c>
      <c r="G12" s="185">
        <f>B12*May!B15</f>
        <v>1911.8000000000002</v>
      </c>
      <c r="H12" s="185">
        <f>B12*Jun!B15</f>
        <v>1216.5999999999999</v>
      </c>
      <c r="I12" s="185">
        <f>B12*Jul!B15</f>
        <v>1216.5999999999999</v>
      </c>
      <c r="J12" s="185">
        <f>B12*Aug!B15</f>
        <v>869</v>
      </c>
      <c r="K12" s="185">
        <f>B12*Sep!B15</f>
        <v>1216.5999999999999</v>
      </c>
      <c r="L12" s="185">
        <f>Oct!B15*B12</f>
        <v>1911.8000000000002</v>
      </c>
      <c r="M12" s="185">
        <f>B12*Nov!B15</f>
        <v>1564.2</v>
      </c>
      <c r="N12" s="185">
        <f>B12*Dec!B15</f>
        <v>0</v>
      </c>
    </row>
    <row r="13" spans="1:14">
      <c r="A13" s="168" t="str">
        <f>Dec!A16</f>
        <v>KOREA</v>
      </c>
      <c r="B13" s="293">
        <v>1711</v>
      </c>
      <c r="C13" s="294">
        <f>B13*Jan!B16</f>
        <v>6844</v>
      </c>
      <c r="D13" s="295">
        <f>B13*Feb!B16</f>
        <v>8897.2000000000007</v>
      </c>
      <c r="E13" s="294">
        <f>B13*Mar!B16</f>
        <v>6501.7999999999993</v>
      </c>
      <c r="F13" s="294">
        <f>B13*Apr!B16</f>
        <v>4961.8999999999996</v>
      </c>
      <c r="G13" s="185">
        <f>B13*May!B16</f>
        <v>6330.7000000000007</v>
      </c>
      <c r="H13" s="185">
        <f>B13*Jun!B16</f>
        <v>4277.5</v>
      </c>
      <c r="I13" s="185">
        <f>B13*Jul!B16</f>
        <v>3422</v>
      </c>
      <c r="J13" s="185">
        <f>B13*Aug!B16</f>
        <v>3593.1000000000004</v>
      </c>
      <c r="K13" s="185">
        <f>B13*Sep!B16</f>
        <v>4790.7999999999993</v>
      </c>
      <c r="L13" s="185">
        <f>Oct!B16*B13</f>
        <v>8555</v>
      </c>
      <c r="M13" s="185">
        <f>B13*Nov!B16</f>
        <v>6501.7999999999993</v>
      </c>
      <c r="N13" s="185">
        <f>B13*Dec!B16</f>
        <v>0</v>
      </c>
    </row>
    <row r="14" spans="1:14">
      <c r="A14" s="168" t="str">
        <f>Dec!A17</f>
        <v>SINGAPORE</v>
      </c>
      <c r="B14" s="293">
        <v>2003</v>
      </c>
      <c r="C14" s="294">
        <f>B14*Jan!B17</f>
        <v>1001.5</v>
      </c>
      <c r="D14" s="295">
        <f>B14*Feb!B17</f>
        <v>1402.1</v>
      </c>
      <c r="E14" s="294">
        <f>B14*Mar!B17</f>
        <v>2603.9</v>
      </c>
      <c r="F14" s="294">
        <f>B14*Apr!B17</f>
        <v>1802.7</v>
      </c>
      <c r="G14" s="185">
        <f>B14*May!B17</f>
        <v>1402.1</v>
      </c>
      <c r="H14" s="185">
        <f>B14*Jun!B17</f>
        <v>1602.4</v>
      </c>
      <c r="I14" s="185">
        <f>B14*Jul!B17</f>
        <v>1001.5</v>
      </c>
      <c r="J14" s="185">
        <f>B14*Aug!B17</f>
        <v>400.6</v>
      </c>
      <c r="K14" s="185">
        <f>B14*Sep!B17</f>
        <v>1201.8</v>
      </c>
      <c r="L14" s="185">
        <f>Oct!B17*B14</f>
        <v>2203.3000000000002</v>
      </c>
      <c r="M14" s="185">
        <f>B14*Nov!B17</f>
        <v>4606.8999999999996</v>
      </c>
      <c r="N14" s="185">
        <f>B14*Dec!B17</f>
        <v>0</v>
      </c>
    </row>
    <row r="15" spans="1:14">
      <c r="A15" s="168" t="str">
        <f>Dec!A18</f>
        <v>THAILAND</v>
      </c>
      <c r="B15" s="293">
        <v>1738</v>
      </c>
      <c r="C15" s="294">
        <f>B15*Jan!B18</f>
        <v>173.8</v>
      </c>
      <c r="D15" s="295">
        <f>B15*Feb!B18</f>
        <v>347.6</v>
      </c>
      <c r="E15" s="294">
        <f>B15*Mar!B18</f>
        <v>347.6</v>
      </c>
      <c r="F15" s="294">
        <f>B15*Apr!B18</f>
        <v>869</v>
      </c>
      <c r="G15" s="185">
        <f>B15*May!B18</f>
        <v>347.6</v>
      </c>
      <c r="H15" s="185">
        <f>B15*Jun!B18</f>
        <v>521.4</v>
      </c>
      <c r="I15" s="185">
        <f>B15*Jul!B18</f>
        <v>347.6</v>
      </c>
      <c r="J15" s="185">
        <f>B15*Aug!B18</f>
        <v>347.6</v>
      </c>
      <c r="K15" s="185">
        <f>B15*Sep!B18</f>
        <v>347.6</v>
      </c>
      <c r="L15" s="185">
        <f>Oct!B18*B15</f>
        <v>521.4</v>
      </c>
      <c r="M15" s="185">
        <f>B15*Nov!B18</f>
        <v>347.6</v>
      </c>
      <c r="N15" s="185">
        <f>B15*Dec!B18</f>
        <v>0</v>
      </c>
    </row>
    <row r="16" spans="1:14">
      <c r="A16" s="168" t="str">
        <f>Dec!A19</f>
        <v>PHILIPPINES</v>
      </c>
      <c r="B16" s="293">
        <v>1642</v>
      </c>
      <c r="C16" s="294">
        <f>B16*Jan!B19</f>
        <v>821</v>
      </c>
      <c r="D16" s="295">
        <f>B16*Feb!B19</f>
        <v>3119.7999999999997</v>
      </c>
      <c r="E16" s="294">
        <f>B16*Mar!B19</f>
        <v>2791.4</v>
      </c>
      <c r="F16" s="294">
        <f>B16*Apr!B19</f>
        <v>3448.2000000000003</v>
      </c>
      <c r="G16" s="185">
        <f>B16*May!B19</f>
        <v>2627.2000000000003</v>
      </c>
      <c r="H16" s="185">
        <f>B16*Jun!B19</f>
        <v>1970.3999999999999</v>
      </c>
      <c r="I16" s="185">
        <f>B16*Jul!B19</f>
        <v>1313.6000000000001</v>
      </c>
      <c r="J16" s="185">
        <f>B16*Aug!B19</f>
        <v>1313.6000000000001</v>
      </c>
      <c r="K16" s="185">
        <f>B16*Sep!B19</f>
        <v>3448.2000000000003</v>
      </c>
      <c r="L16" s="185">
        <f>Oct!B19*B16</f>
        <v>5418.5999999999995</v>
      </c>
      <c r="M16" s="185">
        <f>B16*Nov!B19</f>
        <v>7060.5999999999995</v>
      </c>
      <c r="N16" s="185">
        <f>B16*Dec!B19</f>
        <v>0</v>
      </c>
    </row>
    <row r="17" spans="1:17">
      <c r="A17" s="168"/>
      <c r="B17" s="293"/>
      <c r="C17" s="294"/>
      <c r="D17" s="295"/>
      <c r="E17" s="294"/>
      <c r="F17" s="294"/>
      <c r="G17" s="185"/>
      <c r="H17" s="185"/>
      <c r="I17" s="185"/>
      <c r="J17" s="185"/>
      <c r="K17" s="185"/>
      <c r="L17" s="185"/>
      <c r="M17" s="185"/>
      <c r="N17" s="185"/>
    </row>
    <row r="18" spans="1:17">
      <c r="A18" s="168" t="str">
        <f>Dec!A21</f>
        <v>ASIA -OTHER</v>
      </c>
      <c r="B18" s="296"/>
      <c r="C18" s="297"/>
      <c r="D18" s="298"/>
      <c r="E18" s="294"/>
      <c r="F18" s="294"/>
      <c r="G18" s="185"/>
      <c r="H18" s="185"/>
      <c r="I18" s="185"/>
      <c r="J18" s="185"/>
      <c r="K18" s="185"/>
      <c r="L18" s="185"/>
      <c r="M18" s="185"/>
      <c r="N18" s="185"/>
    </row>
    <row r="19" spans="1:17">
      <c r="A19" s="168" t="str">
        <f>Dec!A22</f>
        <v>CYPRUS</v>
      </c>
      <c r="B19" s="293">
        <v>1182</v>
      </c>
      <c r="C19" s="294">
        <f>B19*Jan!B22</f>
        <v>472.8</v>
      </c>
      <c r="D19" s="295">
        <f>B19*Feb!B22</f>
        <v>709.19999999999993</v>
      </c>
      <c r="E19" s="294">
        <f>B19*Mar!B22</f>
        <v>945.6</v>
      </c>
      <c r="F19" s="294">
        <f>B19*Apr!B22</f>
        <v>1300.2</v>
      </c>
      <c r="G19" s="185">
        <f>B19*May!B22</f>
        <v>709.19999999999993</v>
      </c>
      <c r="H19" s="185">
        <f>B19*Jun!B22</f>
        <v>945.6</v>
      </c>
      <c r="I19" s="185">
        <f>B19*Jul!B22</f>
        <v>591</v>
      </c>
      <c r="J19" s="185">
        <f>B19*Aug!B22</f>
        <v>472.8</v>
      </c>
      <c r="K19" s="185">
        <f>B19*Sep!B22</f>
        <v>709.19999999999993</v>
      </c>
      <c r="L19" s="185">
        <f>Oct!B22*B19</f>
        <v>945.6</v>
      </c>
      <c r="M19" s="185">
        <f>B19*Nov!B22</f>
        <v>1300.2</v>
      </c>
      <c r="N19" s="185">
        <f>B19*Dec!B22</f>
        <v>0</v>
      </c>
    </row>
    <row r="20" spans="1:17">
      <c r="A20" s="168" t="str">
        <f>Dec!A23</f>
        <v>TURKEY</v>
      </c>
      <c r="B20" s="293">
        <v>996</v>
      </c>
      <c r="C20" s="294">
        <f>B20*Jan!B23</f>
        <v>2988</v>
      </c>
      <c r="D20" s="295">
        <f>B20*Feb!B23</f>
        <v>2888.4</v>
      </c>
      <c r="E20" s="294">
        <f>B20*Mar!B23</f>
        <v>3585.6</v>
      </c>
      <c r="F20" s="294">
        <f>B20*Apr!B23</f>
        <v>4083.5999999999995</v>
      </c>
      <c r="G20" s="185">
        <f>B20*May!B23</f>
        <v>5378.4000000000005</v>
      </c>
      <c r="H20" s="185">
        <f>B20*Jun!B23</f>
        <v>2988</v>
      </c>
      <c r="I20" s="185">
        <f>B20*Jul!B23</f>
        <v>2290.7999999999997</v>
      </c>
      <c r="J20" s="185">
        <f>B20*Aug!B23</f>
        <v>2191.2000000000003</v>
      </c>
      <c r="K20" s="185">
        <f>B20*Sep!B23</f>
        <v>2290.7999999999997</v>
      </c>
      <c r="L20" s="185">
        <f>Oct!B23*B20</f>
        <v>2888.4</v>
      </c>
      <c r="M20" s="185">
        <f>B20*Nov!B23</f>
        <v>5079.5999999999995</v>
      </c>
      <c r="N20" s="185">
        <f>B20*Dec!B23</f>
        <v>0</v>
      </c>
    </row>
    <row r="21" spans="1:17" ht="15.75" thickBot="1">
      <c r="A21" s="168" t="str">
        <f>Dec!A24</f>
        <v>JORDAN</v>
      </c>
      <c r="B21" s="293">
        <v>909</v>
      </c>
      <c r="C21" s="294">
        <f>B21*Jan!B24</f>
        <v>1272.5999999999999</v>
      </c>
      <c r="D21" s="295">
        <f>B21*Feb!B24</f>
        <v>727.2</v>
      </c>
      <c r="E21" s="294">
        <f>B21*Mar!B24</f>
        <v>1090.8</v>
      </c>
      <c r="F21" s="294">
        <f>B21*Apr!B24</f>
        <v>1090.8</v>
      </c>
      <c r="G21" s="185">
        <f>B21*May!B24</f>
        <v>999.90000000000009</v>
      </c>
      <c r="H21" s="185">
        <f>B21*Jun!B24</f>
        <v>1908.9</v>
      </c>
      <c r="I21" s="185">
        <f>B21*Jul!B24</f>
        <v>2363.4</v>
      </c>
      <c r="J21" s="185">
        <f>B21*Aug!B24</f>
        <v>1363.5</v>
      </c>
      <c r="K21" s="185">
        <f>B21*Sep!B24</f>
        <v>818.1</v>
      </c>
      <c r="L21" s="185">
        <f>Oct!B24*B21</f>
        <v>636.29999999999995</v>
      </c>
      <c r="M21" s="185">
        <f>B21*Nov!B24</f>
        <v>545.4</v>
      </c>
      <c r="N21" s="185">
        <f>B21*Dec!B24</f>
        <v>0</v>
      </c>
    </row>
    <row r="22" spans="1:17">
      <c r="A22" s="168" t="str">
        <f>Dec!A25</f>
        <v>OTHER</v>
      </c>
      <c r="B22" s="293">
        <v>1738</v>
      </c>
      <c r="C22" s="294">
        <f>B22*Jan!B25</f>
        <v>1564.2</v>
      </c>
      <c r="D22" s="295">
        <f>B22*Feb!B25</f>
        <v>1390.4</v>
      </c>
      <c r="E22" s="294">
        <f>B22*Mar!B25</f>
        <v>1216.5999999999999</v>
      </c>
      <c r="F22" s="294">
        <f>B22*Apr!B25</f>
        <v>3128.4</v>
      </c>
      <c r="G22" s="185">
        <f>B22*May!B25</f>
        <v>1216.5999999999999</v>
      </c>
      <c r="H22" s="185">
        <f>B22*Jun!B25</f>
        <v>1216.5999999999999</v>
      </c>
      <c r="I22" s="185">
        <f>B22*Jul!B25</f>
        <v>1911.8000000000002</v>
      </c>
      <c r="J22" s="185">
        <f>B22*Aug!B25</f>
        <v>3302.2</v>
      </c>
      <c r="K22" s="185">
        <f>B22*Sep!B25</f>
        <v>3128.4</v>
      </c>
      <c r="L22" s="185">
        <f>Oct!B25*B22</f>
        <v>1738</v>
      </c>
      <c r="M22" s="185">
        <f>B22*Nov!B25</f>
        <v>1390.4</v>
      </c>
      <c r="N22" s="185">
        <f>B22*Dec!B25</f>
        <v>0</v>
      </c>
      <c r="P22" s="175">
        <v>2099</v>
      </c>
      <c r="Q22" s="176" t="s">
        <v>233</v>
      </c>
    </row>
    <row r="23" spans="1:17">
      <c r="A23" s="168"/>
      <c r="B23" s="293"/>
      <c r="C23" s="294"/>
      <c r="D23" s="295"/>
      <c r="E23" s="294"/>
      <c r="F23" s="294"/>
      <c r="G23" s="185"/>
      <c r="H23" s="185"/>
      <c r="I23" s="185"/>
      <c r="J23" s="185"/>
      <c r="K23" s="185"/>
      <c r="L23" s="185"/>
      <c r="M23" s="185"/>
      <c r="N23" s="185"/>
      <c r="P23" s="177">
        <v>1974</v>
      </c>
      <c r="Q23" s="178" t="s">
        <v>235</v>
      </c>
    </row>
    <row r="24" spans="1:17">
      <c r="A24" s="168"/>
      <c r="B24" s="293"/>
      <c r="C24" s="294"/>
      <c r="D24" s="295"/>
      <c r="E24" s="294"/>
      <c r="F24" s="294"/>
      <c r="G24" s="185"/>
      <c r="H24" s="185"/>
      <c r="I24" s="185"/>
      <c r="J24" s="185"/>
      <c r="K24" s="185"/>
      <c r="L24" s="185"/>
      <c r="M24" s="185"/>
      <c r="N24" s="185"/>
      <c r="P24" s="177">
        <v>856</v>
      </c>
      <c r="Q24" s="178" t="s">
        <v>229</v>
      </c>
    </row>
    <row r="25" spans="1:17">
      <c r="A25" s="168" t="str">
        <f>Dec!A28</f>
        <v>SOUTH AFRICA</v>
      </c>
      <c r="B25" s="293">
        <v>1721</v>
      </c>
      <c r="C25" s="294">
        <f>B25*Jan!B28</f>
        <v>1721</v>
      </c>
      <c r="D25" s="295">
        <f>B25*Feb!B28</f>
        <v>1721</v>
      </c>
      <c r="E25" s="294">
        <f>B25*Mar!B28</f>
        <v>3269.8999999999996</v>
      </c>
      <c r="F25" s="294">
        <f>B25*Apr!B28</f>
        <v>4302.5</v>
      </c>
      <c r="G25" s="185">
        <f>B25*May!B28</f>
        <v>4130.3999999999996</v>
      </c>
      <c r="H25" s="185">
        <f>B25*Jun!B28</f>
        <v>4818.7999999999993</v>
      </c>
      <c r="I25" s="185">
        <f>B25*Jul!B28</f>
        <v>4646.7000000000007</v>
      </c>
      <c r="J25" s="185">
        <f>B25*Aug!B28</f>
        <v>2237.3000000000002</v>
      </c>
      <c r="K25" s="185">
        <f>B25*Sep!B28</f>
        <v>4818.7999999999993</v>
      </c>
      <c r="L25" s="185">
        <f>Oct!B28*B25</f>
        <v>4990.8999999999996</v>
      </c>
      <c r="M25" s="185">
        <f>B25*Nov!B28</f>
        <v>2409.3999999999996</v>
      </c>
      <c r="N25" s="185">
        <f>B25*Dec!B28</f>
        <v>0</v>
      </c>
      <c r="P25" s="177">
        <v>1590</v>
      </c>
      <c r="Q25" s="178" t="s">
        <v>230</v>
      </c>
    </row>
    <row r="26" spans="1:17">
      <c r="A26" s="168" t="str">
        <f>Dec!A29</f>
        <v>EGYPT</v>
      </c>
      <c r="B26" s="293">
        <v>1408</v>
      </c>
      <c r="C26" s="294">
        <f>B26*Jan!B29</f>
        <v>281.60000000000002</v>
      </c>
      <c r="D26" s="295">
        <f>B26*Feb!B29</f>
        <v>140.80000000000001</v>
      </c>
      <c r="E26" s="294">
        <f>B26*Mar!B29</f>
        <v>140.80000000000001</v>
      </c>
      <c r="F26" s="294">
        <f>B26*Apr!B29</f>
        <v>7180.7999999999993</v>
      </c>
      <c r="G26" s="185">
        <f>B26*May!B29</f>
        <v>281.60000000000002</v>
      </c>
      <c r="H26" s="185">
        <f>B26*Jun!B29</f>
        <v>140.80000000000001</v>
      </c>
      <c r="I26" s="185">
        <f>B26*Jul!B29</f>
        <v>281.60000000000002</v>
      </c>
      <c r="J26" s="185">
        <f>B26*Aug!B29</f>
        <v>140.80000000000001</v>
      </c>
      <c r="K26" s="185">
        <f>B26*Sep!B29</f>
        <v>281.60000000000002</v>
      </c>
      <c r="L26" s="185">
        <f>Oct!B29*B26</f>
        <v>422.4</v>
      </c>
      <c r="M26" s="185">
        <f>B26*Nov!B29</f>
        <v>281.60000000000002</v>
      </c>
      <c r="N26" s="185">
        <f>B26*Dec!B29</f>
        <v>0</v>
      </c>
      <c r="P26" s="177"/>
      <c r="Q26" s="178"/>
    </row>
    <row r="27" spans="1:17">
      <c r="A27" s="168" t="str">
        <f>Dec!A30</f>
        <v>MOROCCO</v>
      </c>
      <c r="B27" s="293">
        <v>1974</v>
      </c>
      <c r="C27" s="294">
        <f>B27*Jan!B30</f>
        <v>197.4</v>
      </c>
      <c r="D27" s="295">
        <f>B27*Feb!B30</f>
        <v>592.19999999999993</v>
      </c>
      <c r="E27" s="294">
        <f>B27*Mar!B30</f>
        <v>789.6</v>
      </c>
      <c r="F27" s="294">
        <f>B27*Apr!B30</f>
        <v>789.6</v>
      </c>
      <c r="G27" s="185">
        <f>B27*May!B30</f>
        <v>394.8</v>
      </c>
      <c r="H27" s="185">
        <f>B27*Jun!B30</f>
        <v>394.8</v>
      </c>
      <c r="I27" s="185">
        <f>B27*Jul!B30</f>
        <v>592.19999999999993</v>
      </c>
      <c r="J27" s="185">
        <f>B27*Aug!B30</f>
        <v>592.19999999999993</v>
      </c>
      <c r="K27" s="185">
        <f>B27*Sep!B30</f>
        <v>394.8</v>
      </c>
      <c r="L27" s="185">
        <f>Oct!B30*B27</f>
        <v>394.8</v>
      </c>
      <c r="M27" s="185">
        <f>B27*Nov!B30</f>
        <v>394.8</v>
      </c>
      <c r="N27" s="185">
        <f>B27*Dec!B30</f>
        <v>0</v>
      </c>
      <c r="P27" s="177">
        <v>1926</v>
      </c>
      <c r="Q27" s="178" t="s">
        <v>231</v>
      </c>
    </row>
    <row r="28" spans="1:17">
      <c r="A28" s="168" t="str">
        <f>Dec!A31</f>
        <v>NIGERIA</v>
      </c>
      <c r="B28" s="293">
        <v>1027</v>
      </c>
      <c r="C28" s="294">
        <f>B28*Jan!B31</f>
        <v>102.7</v>
      </c>
      <c r="D28" s="295">
        <f>B28*Feb!B31</f>
        <v>410.8</v>
      </c>
      <c r="E28" s="294">
        <f>B28*Mar!B31</f>
        <v>718.9</v>
      </c>
      <c r="F28" s="294">
        <f>B28*Apr!B31</f>
        <v>205.4</v>
      </c>
      <c r="G28" s="185">
        <f>B28*May!B31</f>
        <v>1232.3999999999999</v>
      </c>
      <c r="H28" s="185">
        <f>B28*Jun!B31</f>
        <v>308.09999999999997</v>
      </c>
      <c r="I28" s="185">
        <f>B28*Jul!B31</f>
        <v>410.8</v>
      </c>
      <c r="J28" s="185">
        <f>B28*Aug!B31</f>
        <v>205.4</v>
      </c>
      <c r="K28" s="185">
        <f>B28*Sep!B31</f>
        <v>308.09999999999997</v>
      </c>
      <c r="L28" s="185">
        <f>Oct!B31*B28</f>
        <v>410.8</v>
      </c>
      <c r="M28" s="185">
        <f>B28*Nov!B31</f>
        <v>1540.5</v>
      </c>
      <c r="N28" s="185">
        <f>B28*Dec!B31</f>
        <v>0</v>
      </c>
      <c r="P28" s="177">
        <v>1738</v>
      </c>
      <c r="Q28" s="178" t="s">
        <v>232</v>
      </c>
    </row>
    <row r="29" spans="1:17" ht="15.75" thickBot="1">
      <c r="A29" s="168" t="str">
        <f>Dec!A32</f>
        <v>KENYA</v>
      </c>
      <c r="B29" s="293">
        <v>1974</v>
      </c>
      <c r="C29" s="294">
        <f>B29*Jan!B32</f>
        <v>197.4</v>
      </c>
      <c r="D29" s="295">
        <f>B29*Feb!B32</f>
        <v>197.4</v>
      </c>
      <c r="E29" s="294">
        <f>B29*Mar!B32</f>
        <v>394.8</v>
      </c>
      <c r="F29" s="294">
        <f>B29*Apr!B32</f>
        <v>789.6</v>
      </c>
      <c r="G29" s="185">
        <f>B29*May!B32</f>
        <v>592.19999999999993</v>
      </c>
      <c r="H29" s="185">
        <f>B29*Jun!B32</f>
        <v>987</v>
      </c>
      <c r="I29" s="185">
        <f>B29*Jul!B32</f>
        <v>789.6</v>
      </c>
      <c r="J29" s="185">
        <f>B29*Aug!B32</f>
        <v>197.4</v>
      </c>
      <c r="K29" s="185">
        <f>B29*Sep!B32</f>
        <v>394.8</v>
      </c>
      <c r="L29" s="185">
        <f>Oct!B32*B29</f>
        <v>394.8</v>
      </c>
      <c r="M29" s="185">
        <f>B29*Nov!B32</f>
        <v>1776.6000000000001</v>
      </c>
      <c r="N29" s="185">
        <f>B29*Dec!B32</f>
        <v>0</v>
      </c>
      <c r="P29" s="179">
        <v>1927</v>
      </c>
      <c r="Q29" s="180" t="s">
        <v>234</v>
      </c>
    </row>
    <row r="30" spans="1:17">
      <c r="A30" s="168" t="str">
        <f>Dec!A33</f>
        <v>OTHER</v>
      </c>
      <c r="B30" s="293">
        <v>1974</v>
      </c>
      <c r="C30" s="294">
        <f>B30*Jan!B33</f>
        <v>2566.2000000000003</v>
      </c>
      <c r="D30" s="295">
        <f>B30*Feb!B33</f>
        <v>1579.2</v>
      </c>
      <c r="E30" s="294">
        <f>B30*Mar!B33</f>
        <v>2566.2000000000003</v>
      </c>
      <c r="F30" s="294">
        <f>B30*Apr!B33</f>
        <v>7106.4000000000005</v>
      </c>
      <c r="G30" s="185">
        <f>B30*May!B33</f>
        <v>3158.4</v>
      </c>
      <c r="H30" s="185">
        <f>B30*Jun!B33</f>
        <v>3158.4</v>
      </c>
      <c r="I30" s="185">
        <f>B30*Jul!B33</f>
        <v>3355.7999999999997</v>
      </c>
      <c r="J30" s="185">
        <f>B30*Aug!B33</f>
        <v>4540.2</v>
      </c>
      <c r="K30" s="185">
        <f>B30*Sep!B33</f>
        <v>5132.4000000000005</v>
      </c>
      <c r="L30" s="185">
        <f>Oct!B33*B30</f>
        <v>3750.6</v>
      </c>
      <c r="M30" s="185">
        <f>B30*Nov!B33</f>
        <v>4342.8</v>
      </c>
      <c r="N30" s="185">
        <f>B30*Dec!B33</f>
        <v>0</v>
      </c>
    </row>
    <row r="31" spans="1:17">
      <c r="A31" s="168"/>
      <c r="B31" s="293"/>
      <c r="C31" s="294"/>
      <c r="D31" s="295"/>
      <c r="E31" s="294"/>
      <c r="F31" s="294"/>
      <c r="G31" s="185"/>
      <c r="H31" s="185"/>
      <c r="I31" s="185"/>
      <c r="J31" s="185"/>
      <c r="K31" s="185"/>
      <c r="L31" s="185"/>
      <c r="M31" s="185"/>
      <c r="N31" s="185"/>
    </row>
    <row r="32" spans="1:17">
      <c r="A32" s="168"/>
      <c r="B32" s="293"/>
      <c r="C32" s="294"/>
      <c r="D32" s="295"/>
      <c r="E32" s="294"/>
      <c r="F32" s="294"/>
      <c r="G32" s="185"/>
      <c r="H32" s="185"/>
      <c r="I32" s="185"/>
      <c r="J32" s="185"/>
      <c r="K32" s="185"/>
      <c r="L32" s="185"/>
      <c r="M32" s="185"/>
      <c r="N32" s="185"/>
    </row>
    <row r="33" spans="1:14">
      <c r="A33" s="168"/>
      <c r="B33" s="293"/>
      <c r="C33" s="294"/>
      <c r="D33" s="295"/>
      <c r="E33" s="294"/>
      <c r="F33" s="294"/>
      <c r="G33" s="185"/>
      <c r="H33" s="185"/>
      <c r="I33" s="185"/>
      <c r="J33" s="185"/>
      <c r="K33" s="185"/>
      <c r="L33" s="185"/>
      <c r="M33" s="185"/>
      <c r="N33" s="185"/>
    </row>
    <row r="34" spans="1:14">
      <c r="A34" s="168" t="str">
        <f>Dec!A37</f>
        <v xml:space="preserve">      FINLAND</v>
      </c>
      <c r="B34" s="293">
        <v>1199</v>
      </c>
      <c r="C34" s="294">
        <f>B34*Jan!B37</f>
        <v>1318.9</v>
      </c>
      <c r="D34" s="295">
        <f>B34*Feb!B37</f>
        <v>1918.4</v>
      </c>
      <c r="E34" s="294">
        <f>B34*Mar!B37</f>
        <v>2398</v>
      </c>
      <c r="F34" s="294">
        <f>B34*Apr!B37</f>
        <v>2038.3</v>
      </c>
      <c r="G34" s="185">
        <f>B34*May!B37</f>
        <v>1079.1000000000001</v>
      </c>
      <c r="H34" s="185">
        <f>B34*Jun!B37</f>
        <v>1199</v>
      </c>
      <c r="I34" s="185">
        <f>B34*Jul!B37</f>
        <v>719.4</v>
      </c>
      <c r="J34" s="185">
        <f>B34*Aug!B37</f>
        <v>359.7</v>
      </c>
      <c r="K34" s="185">
        <f>B34*Sep!B37</f>
        <v>1079.1000000000001</v>
      </c>
      <c r="L34" s="185">
        <f>Oct!B37*B34</f>
        <v>2637.8</v>
      </c>
      <c r="M34" s="185">
        <f>B34*Nov!B37</f>
        <v>2158.2000000000003</v>
      </c>
      <c r="N34" s="185">
        <f>B34*Dec!B37</f>
        <v>0</v>
      </c>
    </row>
    <row r="35" spans="1:14">
      <c r="A35" s="168" t="str">
        <f>Dec!A38</f>
        <v xml:space="preserve">      SWEDEN</v>
      </c>
      <c r="B35" s="293">
        <v>1145</v>
      </c>
      <c r="C35" s="294">
        <f>B35*Jan!B38</f>
        <v>1259.5</v>
      </c>
      <c r="D35" s="295">
        <f>B35*Feb!B38</f>
        <v>1717.5</v>
      </c>
      <c r="E35" s="294">
        <f>B35*Mar!B38</f>
        <v>2404.5</v>
      </c>
      <c r="F35" s="294">
        <f>B35*Apr!B38</f>
        <v>3664</v>
      </c>
      <c r="G35" s="185">
        <f>B35*May!B38</f>
        <v>2748</v>
      </c>
      <c r="H35" s="185">
        <f>B35*Jun!B38</f>
        <v>2633.5</v>
      </c>
      <c r="I35" s="185">
        <f>B35*Jul!B38</f>
        <v>2519</v>
      </c>
      <c r="J35" s="185">
        <f>B35*Aug!B38</f>
        <v>1259.5</v>
      </c>
      <c r="K35" s="185">
        <f>B35*Sep!B38</f>
        <v>2290</v>
      </c>
      <c r="L35" s="185">
        <f>Oct!B38*B35</f>
        <v>4923.5</v>
      </c>
      <c r="M35" s="185">
        <f>B35*Nov!B38</f>
        <v>3435</v>
      </c>
      <c r="N35" s="185">
        <f>B35*Dec!B38</f>
        <v>0</v>
      </c>
    </row>
    <row r="36" spans="1:14">
      <c r="A36" s="168" t="str">
        <f>Dec!A39</f>
        <v xml:space="preserve">      NORWAY</v>
      </c>
      <c r="B36" s="293">
        <v>1728</v>
      </c>
      <c r="C36" s="294">
        <f>B36*Jan!B39</f>
        <v>864</v>
      </c>
      <c r="D36" s="295">
        <f>B36*Feb!B39</f>
        <v>1555.2</v>
      </c>
      <c r="E36" s="294">
        <f>B36*Mar!B39</f>
        <v>2073.6</v>
      </c>
      <c r="F36" s="294">
        <f>B36*Apr!B39</f>
        <v>2592</v>
      </c>
      <c r="G36" s="185">
        <f>B36*May!B39</f>
        <v>1555.2</v>
      </c>
      <c r="H36" s="185">
        <f>B36*Jun!B39</f>
        <v>1900.8000000000002</v>
      </c>
      <c r="I36" s="185">
        <f>B36*Jul!B39</f>
        <v>2073.6</v>
      </c>
      <c r="J36" s="185">
        <f>B36*Aug!B39</f>
        <v>864</v>
      </c>
      <c r="K36" s="185">
        <f>B36*Sep!B39</f>
        <v>2419.1999999999998</v>
      </c>
      <c r="L36" s="185">
        <f>Oct!B39*B36</f>
        <v>4838.3999999999996</v>
      </c>
      <c r="M36" s="185">
        <f>B36*Nov!B39</f>
        <v>2073.6</v>
      </c>
      <c r="N36" s="185">
        <f>B36*Dec!B39</f>
        <v>0</v>
      </c>
    </row>
    <row r="37" spans="1:14">
      <c r="A37" s="168" t="str">
        <f>Dec!A40</f>
        <v xml:space="preserve">      DENMARK</v>
      </c>
      <c r="B37" s="293">
        <v>1041</v>
      </c>
      <c r="C37" s="294">
        <f>B37*Jan!B40</f>
        <v>1145.1000000000001</v>
      </c>
      <c r="D37" s="295">
        <f>B37*Feb!B40</f>
        <v>1665.6000000000001</v>
      </c>
      <c r="E37" s="294">
        <f>B37*Mar!B40</f>
        <v>1977.8999999999999</v>
      </c>
      <c r="F37" s="294">
        <f>B37*Apr!B40</f>
        <v>2082</v>
      </c>
      <c r="G37" s="185">
        <f>B37*May!B40</f>
        <v>1457.3999999999999</v>
      </c>
      <c r="H37" s="185">
        <f>B37*Jun!B40</f>
        <v>1249.2</v>
      </c>
      <c r="I37" s="185">
        <f>B37*Jul!B40</f>
        <v>1977.8999999999999</v>
      </c>
      <c r="J37" s="185">
        <f>B37*Aug!B40</f>
        <v>832.80000000000007</v>
      </c>
      <c r="K37" s="185">
        <f>B37*Sep!B40</f>
        <v>1561.5</v>
      </c>
      <c r="L37" s="185">
        <f>Oct!B40*B37</f>
        <v>3227.1</v>
      </c>
      <c r="M37" s="185">
        <f>B37*Nov!B40</f>
        <v>1665.6000000000001</v>
      </c>
      <c r="N37" s="185">
        <f>B37*Dec!B40</f>
        <v>0</v>
      </c>
    </row>
    <row r="38" spans="1:14">
      <c r="A38" s="168" t="str">
        <f>Dec!A41</f>
        <v>UNITED KINGDOM</v>
      </c>
      <c r="B38" s="293">
        <v>1297</v>
      </c>
      <c r="C38" s="294">
        <f>B38*Jan!B41</f>
        <v>12580.9</v>
      </c>
      <c r="D38" s="295">
        <f>B38*Feb!B41</f>
        <v>17120.399999999998</v>
      </c>
      <c r="E38" s="294">
        <f>B38*Mar!B41</f>
        <v>18806.5</v>
      </c>
      <c r="F38" s="294">
        <f>B38*Apr!B41</f>
        <v>29052.799999999999</v>
      </c>
      <c r="G38" s="185">
        <f>B38*May!B41</f>
        <v>24902.399999999998</v>
      </c>
      <c r="H38" s="185">
        <f>B38*Jun!B41</f>
        <v>21400.5</v>
      </c>
      <c r="I38" s="185">
        <f>B38*Jul!B41</f>
        <v>20622.3</v>
      </c>
      <c r="J38" s="185">
        <f>B38*Aug!B41</f>
        <v>25680.600000000002</v>
      </c>
      <c r="K38" s="185">
        <f>B38*Sep!B41</f>
        <v>19584.7</v>
      </c>
      <c r="L38" s="185">
        <f>Oct!B41*B38</f>
        <v>30868.600000000002</v>
      </c>
      <c r="M38" s="185">
        <f>B38*Nov!B41</f>
        <v>19325.3</v>
      </c>
      <c r="N38" s="185">
        <f>B38*Dec!B41</f>
        <v>0</v>
      </c>
    </row>
    <row r="39" spans="1:14">
      <c r="A39" s="168" t="str">
        <f>Dec!A42</f>
        <v>IRELAND</v>
      </c>
      <c r="B39" s="293">
        <v>1590</v>
      </c>
      <c r="C39" s="294">
        <f>B39*Jan!B42</f>
        <v>954</v>
      </c>
      <c r="D39" s="295">
        <f>B39*Feb!B42</f>
        <v>954</v>
      </c>
      <c r="E39" s="294">
        <f>B39*Mar!B42</f>
        <v>1431</v>
      </c>
      <c r="F39" s="294">
        <f>B39*Apr!B42</f>
        <v>1590</v>
      </c>
      <c r="G39" s="185">
        <f>B39*May!B42</f>
        <v>1272</v>
      </c>
      <c r="H39" s="185">
        <f>B39*Jun!B42</f>
        <v>1431</v>
      </c>
      <c r="I39" s="185">
        <f>B39*Jul!B42</f>
        <v>954</v>
      </c>
      <c r="J39" s="185">
        <f>B39*Aug!B42</f>
        <v>795</v>
      </c>
      <c r="K39" s="185">
        <f>B39*Sep!B42</f>
        <v>1272</v>
      </c>
      <c r="L39" s="185">
        <f>Oct!B42*B39</f>
        <v>2544</v>
      </c>
      <c r="M39" s="185">
        <f>B39*Nov!B42</f>
        <v>1431</v>
      </c>
      <c r="N39" s="185">
        <f>B39*Dec!B42</f>
        <v>0</v>
      </c>
    </row>
    <row r="40" spans="1:14">
      <c r="A40" s="168" t="str">
        <f>Dec!A43</f>
        <v>NETHERLANDS</v>
      </c>
      <c r="B40" s="293">
        <v>1164</v>
      </c>
      <c r="C40" s="294">
        <f>B40*Jan!B43</f>
        <v>3375.6</v>
      </c>
      <c r="D40" s="295">
        <f>B40*Feb!B43</f>
        <v>5238</v>
      </c>
      <c r="E40" s="294">
        <f>B40*Mar!B43</f>
        <v>6402</v>
      </c>
      <c r="F40" s="294">
        <f>B40*Apr!B43</f>
        <v>10243.200000000001</v>
      </c>
      <c r="G40" s="185">
        <f>B40*May!B43</f>
        <v>6984</v>
      </c>
      <c r="H40" s="185">
        <f>B40*Jun!B43</f>
        <v>4656</v>
      </c>
      <c r="I40" s="185">
        <f>B40*Jul!B43</f>
        <v>6052.8</v>
      </c>
      <c r="J40" s="185">
        <f>B40*Aug!B43</f>
        <v>3841.2</v>
      </c>
      <c r="K40" s="185">
        <f>B40*Sep!B43</f>
        <v>5354.4</v>
      </c>
      <c r="L40" s="185">
        <f>Oct!B43*B40</f>
        <v>8730</v>
      </c>
      <c r="M40" s="185">
        <f>B40*Nov!B43</f>
        <v>7566</v>
      </c>
      <c r="N40" s="185">
        <f>B40*Dec!B43</f>
        <v>0</v>
      </c>
    </row>
    <row r="41" spans="1:14">
      <c r="A41" s="168" t="str">
        <f>Dec!A44</f>
        <v>BELGIUM</v>
      </c>
      <c r="B41" s="293">
        <v>1143</v>
      </c>
      <c r="C41" s="294">
        <f>B41*Jan!B44</f>
        <v>2057.4</v>
      </c>
      <c r="D41" s="295">
        <f>B41*Feb!B44</f>
        <v>2971.8</v>
      </c>
      <c r="E41" s="294">
        <f>B41*Mar!B44</f>
        <v>2971.8</v>
      </c>
      <c r="F41" s="294">
        <f>B41*Apr!B44</f>
        <v>5257.7999999999993</v>
      </c>
      <c r="G41" s="185">
        <f>B41*May!B44</f>
        <v>3886.2</v>
      </c>
      <c r="H41" s="185">
        <f>B41*Jun!B44</f>
        <v>2857.5</v>
      </c>
      <c r="I41" s="185">
        <f>B41*Jul!B44</f>
        <v>3429</v>
      </c>
      <c r="J41" s="185">
        <f>B41*Aug!B44</f>
        <v>2971.8</v>
      </c>
      <c r="K41" s="185">
        <f>B41*Sep!B44</f>
        <v>3086.1000000000004</v>
      </c>
      <c r="L41" s="185">
        <f>Oct!B44*B41</f>
        <v>5143.5</v>
      </c>
      <c r="M41" s="185">
        <f>B41*Nov!B44</f>
        <v>3543.3</v>
      </c>
      <c r="N41" s="185">
        <f>B41*Dec!B44</f>
        <v>0</v>
      </c>
    </row>
    <row r="42" spans="1:14">
      <c r="A42" s="168" t="str">
        <f>Dec!A45</f>
        <v>FRANCE</v>
      </c>
      <c r="B42" s="293">
        <v>1326</v>
      </c>
      <c r="C42" s="294">
        <f>B42*Jan!B45</f>
        <v>16840.2</v>
      </c>
      <c r="D42" s="295">
        <f>B42*Feb!B45</f>
        <v>28509</v>
      </c>
      <c r="E42" s="294">
        <f>B42*Mar!B45</f>
        <v>26652.600000000002</v>
      </c>
      <c r="F42" s="294">
        <f>B42*Apr!B45</f>
        <v>46807.799999999996</v>
      </c>
      <c r="G42" s="185">
        <f>B42*May!B45</f>
        <v>38984.400000000001</v>
      </c>
      <c r="H42" s="185">
        <f>B42*Jun!B45</f>
        <v>29039.399999999998</v>
      </c>
      <c r="I42" s="185">
        <f>B42*Jul!B45</f>
        <v>41238.6</v>
      </c>
      <c r="J42" s="185">
        <f>B42*Aug!B45</f>
        <v>51714</v>
      </c>
      <c r="K42" s="185">
        <f>B42*Sep!B45</f>
        <v>20022.599999999999</v>
      </c>
      <c r="L42" s="185">
        <f>Oct!B45*B42</f>
        <v>49062</v>
      </c>
      <c r="M42" s="185">
        <f>B42*Nov!B45</f>
        <v>28376.399999999998</v>
      </c>
      <c r="N42" s="185">
        <f>B42*Dec!B45</f>
        <v>0</v>
      </c>
    </row>
    <row r="43" spans="1:14">
      <c r="A43" s="168" t="str">
        <f>Dec!A46</f>
        <v>ITALY</v>
      </c>
      <c r="B43" s="293">
        <v>1213</v>
      </c>
      <c r="C43" s="294">
        <f>B43*Jan!B46</f>
        <v>7763.2000000000007</v>
      </c>
      <c r="D43" s="295">
        <f>B43*Feb!B46</f>
        <v>7035.4</v>
      </c>
      <c r="E43" s="294">
        <f>B43*Mar!B46</f>
        <v>10067.900000000001</v>
      </c>
      <c r="F43" s="294">
        <f>B43*Apr!B46</f>
        <v>12372.599999999999</v>
      </c>
      <c r="G43" s="185">
        <f>B43*May!B46</f>
        <v>9582.7000000000007</v>
      </c>
      <c r="H43" s="185">
        <f>B43*Jun!B46</f>
        <v>9461.4</v>
      </c>
      <c r="I43" s="185">
        <f>B43*Jul!B46</f>
        <v>9461.4</v>
      </c>
      <c r="J43" s="185">
        <f>B43*Aug!B46</f>
        <v>13585.599999999999</v>
      </c>
      <c r="K43" s="185">
        <f>B43*Sep!B46</f>
        <v>9097.5</v>
      </c>
      <c r="L43" s="185">
        <f>Oct!B46*B43</f>
        <v>11644.8</v>
      </c>
      <c r="M43" s="185">
        <f>B43*Nov!B46</f>
        <v>13585.599999999999</v>
      </c>
      <c r="N43" s="185">
        <f>B43*Dec!B46</f>
        <v>0</v>
      </c>
    </row>
    <row r="44" spans="1:14">
      <c r="A44" s="168" t="str">
        <f>Dec!A47</f>
        <v>SWITZERLAND</v>
      </c>
      <c r="B44" s="293">
        <v>1244</v>
      </c>
      <c r="C44" s="294">
        <f>B44*Jan!B47</f>
        <v>2861.2</v>
      </c>
      <c r="D44" s="295">
        <f>B44*Feb!B47</f>
        <v>4105.2</v>
      </c>
      <c r="E44" s="294">
        <f>B44*Mar!B47</f>
        <v>4354</v>
      </c>
      <c r="F44" s="294">
        <f>B44*Apr!B47</f>
        <v>7464</v>
      </c>
      <c r="G44" s="185">
        <f>B44*May!B47</f>
        <v>5971.2</v>
      </c>
      <c r="H44" s="185">
        <f>B44*Jun!B47</f>
        <v>4478.4000000000005</v>
      </c>
      <c r="I44" s="185">
        <f>B44*Jul!B47</f>
        <v>4229.5999999999995</v>
      </c>
      <c r="J44" s="185">
        <f>B44*Aug!B47</f>
        <v>3483.2</v>
      </c>
      <c r="K44" s="185">
        <f>B44*Sep!B47</f>
        <v>5224.8</v>
      </c>
      <c r="L44" s="185">
        <f>Oct!B47*B44</f>
        <v>9330</v>
      </c>
      <c r="M44" s="185">
        <f>B44*Nov!B47</f>
        <v>4851.5999999999995</v>
      </c>
      <c r="N44" s="185">
        <f>B44*Dec!B47</f>
        <v>0</v>
      </c>
    </row>
    <row r="45" spans="1:14">
      <c r="A45" s="168" t="str">
        <f>Dec!A48</f>
        <v>GERMANY</v>
      </c>
      <c r="B45" s="293">
        <v>1181</v>
      </c>
      <c r="C45" s="294">
        <f>B45*Jan!B48</f>
        <v>10983.300000000001</v>
      </c>
      <c r="D45" s="295">
        <f>B45*Feb!B48</f>
        <v>17951.2</v>
      </c>
      <c r="E45" s="294">
        <f>B45*Mar!B48</f>
        <v>26808.7</v>
      </c>
      <c r="F45" s="294">
        <f>B45*Apr!B48</f>
        <v>25863.899999999998</v>
      </c>
      <c r="G45" s="185">
        <f>B45*May!B48</f>
        <v>22439</v>
      </c>
      <c r="H45" s="185">
        <f>B45*Jun!B48</f>
        <v>19958.899999999998</v>
      </c>
      <c r="I45" s="185">
        <f>B45*Jul!B48</f>
        <v>14408.199999999999</v>
      </c>
      <c r="J45" s="185">
        <f>B45*Aug!B48</f>
        <v>13581.5</v>
      </c>
      <c r="K45" s="185">
        <f>B45*Sep!B48</f>
        <v>21258</v>
      </c>
      <c r="L45" s="185">
        <f>Oct!B48*B45</f>
        <v>39445.4</v>
      </c>
      <c r="M45" s="185">
        <f>B45*Nov!B48</f>
        <v>26218.2</v>
      </c>
      <c r="N45" s="185">
        <f>B45*Dec!B48</f>
        <v>0</v>
      </c>
    </row>
    <row r="46" spans="1:14">
      <c r="A46" s="168" t="str">
        <f>Dec!A49</f>
        <v>AUSTRIA</v>
      </c>
      <c r="B46" s="293">
        <v>1097</v>
      </c>
      <c r="C46" s="294">
        <f>B46*Jan!B49</f>
        <v>1535.8</v>
      </c>
      <c r="D46" s="295">
        <f>B46*Feb!B49</f>
        <v>3291</v>
      </c>
      <c r="E46" s="294">
        <f>B46*Mar!B49</f>
        <v>2742.5</v>
      </c>
      <c r="F46" s="294">
        <f>B46*Apr!B49</f>
        <v>3510.4</v>
      </c>
      <c r="G46" s="185">
        <f>B46*May!B49</f>
        <v>2632.7999999999997</v>
      </c>
      <c r="H46" s="185">
        <f>B46*Jun!B49</f>
        <v>2413.4</v>
      </c>
      <c r="I46" s="185">
        <f>B46*Jul!B49</f>
        <v>2303.7000000000003</v>
      </c>
      <c r="J46" s="185">
        <f>B46*Aug!B49</f>
        <v>2194</v>
      </c>
      <c r="K46" s="185">
        <f>B46*Sep!B49</f>
        <v>2194</v>
      </c>
      <c r="L46" s="185">
        <f>Oct!B49*B46</f>
        <v>3949.2000000000003</v>
      </c>
      <c r="M46" s="185">
        <f>B46*Nov!B49</f>
        <v>2523.1</v>
      </c>
      <c r="N46" s="185">
        <f>B46*Dec!B49</f>
        <v>0</v>
      </c>
    </row>
    <row r="47" spans="1:14">
      <c r="A47" s="168" t="str">
        <f>Dec!A50</f>
        <v>SPAIN</v>
      </c>
      <c r="B47" s="293">
        <v>1412</v>
      </c>
      <c r="C47" s="294">
        <f>B47*Jan!B50</f>
        <v>3953.6</v>
      </c>
      <c r="D47" s="295">
        <f>B47*Feb!B50</f>
        <v>5083.2</v>
      </c>
      <c r="E47" s="294">
        <f>B47*Mar!B50</f>
        <v>5365.5999999999995</v>
      </c>
      <c r="F47" s="294">
        <f>B47*Apr!B50</f>
        <v>7766</v>
      </c>
      <c r="G47" s="185">
        <f>B47*May!B50</f>
        <v>6212.8</v>
      </c>
      <c r="H47" s="185">
        <f>B47*Jun!B50</f>
        <v>8330.8000000000011</v>
      </c>
      <c r="I47" s="185">
        <f>B47*Jul!B50</f>
        <v>8754.4</v>
      </c>
      <c r="J47" s="185">
        <f>B47*Aug!B50</f>
        <v>8754.4</v>
      </c>
      <c r="K47" s="185">
        <f>B47*Sep!B50</f>
        <v>7907.2</v>
      </c>
      <c r="L47" s="185">
        <f>Oct!B50*B47</f>
        <v>8330.8000000000011</v>
      </c>
      <c r="M47" s="185">
        <f>B47*Nov!B50</f>
        <v>7766</v>
      </c>
      <c r="N47" s="185">
        <f>B47*Dec!B50</f>
        <v>0</v>
      </c>
    </row>
    <row r="48" spans="1:14">
      <c r="A48" s="168" t="str">
        <f>Dec!A51</f>
        <v>PORTUGAL</v>
      </c>
      <c r="B48" s="293">
        <v>1590</v>
      </c>
      <c r="C48" s="294">
        <f>B48*Jan!B51</f>
        <v>954</v>
      </c>
      <c r="D48" s="295">
        <f>B48*Feb!B51</f>
        <v>1113</v>
      </c>
      <c r="E48" s="294">
        <f>B48*Mar!B51</f>
        <v>954</v>
      </c>
      <c r="F48" s="294">
        <f>B48*Apr!B51</f>
        <v>1431</v>
      </c>
      <c r="G48" s="185">
        <f>B48*May!B51</f>
        <v>1113</v>
      </c>
      <c r="H48" s="185">
        <f>B48*Jun!B51</f>
        <v>1749.0000000000002</v>
      </c>
      <c r="I48" s="185">
        <f>B48*Jul!B51</f>
        <v>1272</v>
      </c>
      <c r="J48" s="185">
        <f>B48*Aug!B51</f>
        <v>2544</v>
      </c>
      <c r="K48" s="185">
        <f>B48*Sep!B51</f>
        <v>1908</v>
      </c>
      <c r="L48" s="185">
        <f>Oct!B51*B48</f>
        <v>1749.0000000000002</v>
      </c>
      <c r="M48" s="185">
        <f>B48*Nov!B51</f>
        <v>1590</v>
      </c>
      <c r="N48" s="185">
        <f>B48*Dec!B51</f>
        <v>0</v>
      </c>
    </row>
    <row r="49" spans="1:14">
      <c r="A49" s="168"/>
      <c r="B49" s="293"/>
      <c r="C49" s="294"/>
      <c r="D49" s="295"/>
      <c r="E49" s="294"/>
      <c r="F49" s="294"/>
      <c r="G49" s="185"/>
      <c r="H49" s="185"/>
      <c r="I49" s="185"/>
      <c r="J49" s="185"/>
      <c r="K49" s="185"/>
      <c r="L49" s="185"/>
      <c r="M49" s="185"/>
      <c r="N49" s="185"/>
    </row>
    <row r="50" spans="1:14">
      <c r="A50" s="168" t="str">
        <f>Dec!A53</f>
        <v>TOTAL CIS</v>
      </c>
      <c r="B50" s="299"/>
      <c r="C50" s="300"/>
      <c r="D50" s="301"/>
      <c r="E50" s="294"/>
      <c r="F50" s="294"/>
      <c r="G50" s="185"/>
      <c r="H50" s="185"/>
      <c r="I50" s="185"/>
      <c r="J50" s="185"/>
      <c r="K50" s="185"/>
      <c r="L50" s="185"/>
      <c r="M50" s="185"/>
      <c r="N50" s="185"/>
    </row>
    <row r="51" spans="1:14">
      <c r="A51" s="168" t="str">
        <f>Dec!A54</f>
        <v>RUSSIA</v>
      </c>
      <c r="B51" s="293">
        <v>1590</v>
      </c>
      <c r="C51" s="294">
        <f>B51*Jan!B54</f>
        <v>31164.000000000004</v>
      </c>
      <c r="D51" s="295">
        <f>B51*Feb!B54</f>
        <v>33231</v>
      </c>
      <c r="E51" s="294">
        <f>B51*Mar!B54</f>
        <v>47700</v>
      </c>
      <c r="F51" s="294">
        <f>B51*Apr!B54</f>
        <v>52629</v>
      </c>
      <c r="G51" s="185">
        <f>B51*May!B54</f>
        <v>52311</v>
      </c>
      <c r="H51" s="185">
        <f>B51*Jun!B54</f>
        <v>36729</v>
      </c>
      <c r="I51" s="185">
        <f>B51*Jul!B54</f>
        <v>33390</v>
      </c>
      <c r="J51" s="185">
        <f>B51*Aug!B54</f>
        <v>29255.999999999996</v>
      </c>
      <c r="K51" s="185">
        <f>B51*Sep!B54</f>
        <v>45951</v>
      </c>
      <c r="L51" s="185">
        <f>Oct!B54*B51</f>
        <v>69960</v>
      </c>
      <c r="M51" s="185">
        <f>B51*Nov!B54</f>
        <v>56126.999999999993</v>
      </c>
      <c r="N51" s="185">
        <f>B51*Dec!B54</f>
        <v>0</v>
      </c>
    </row>
    <row r="52" spans="1:14">
      <c r="A52" s="168" t="str">
        <f>Dec!A55</f>
        <v>UKRAINE</v>
      </c>
      <c r="B52" s="293">
        <v>1336</v>
      </c>
      <c r="C52" s="294">
        <f>B52*Jan!B55</f>
        <v>11890.4</v>
      </c>
      <c r="D52" s="295">
        <f>B52*Feb!B55</f>
        <v>12291.199999999999</v>
      </c>
      <c r="E52" s="294">
        <f>B52*Mar!B55</f>
        <v>16566.400000000001</v>
      </c>
      <c r="F52" s="294">
        <f>B52*Apr!B55</f>
        <v>17501.599999999999</v>
      </c>
      <c r="G52" s="185">
        <f>B52*May!B55</f>
        <v>18436.8</v>
      </c>
      <c r="H52" s="185">
        <f>B52*Jun!B55</f>
        <v>15364</v>
      </c>
      <c r="I52" s="185">
        <f>B52*Jul!B55</f>
        <v>14028</v>
      </c>
      <c r="J52" s="185">
        <f>B52*Aug!B55</f>
        <v>12024</v>
      </c>
      <c r="K52" s="185">
        <f>B52*Sep!B55</f>
        <v>24716</v>
      </c>
      <c r="L52" s="185">
        <f>Oct!B55*B52</f>
        <v>22979.200000000001</v>
      </c>
      <c r="M52" s="185">
        <f>B52*Nov!B55</f>
        <v>17100.8</v>
      </c>
      <c r="N52" s="185">
        <f>B52*Dec!B55</f>
        <v>0</v>
      </c>
    </row>
    <row r="53" spans="1:14">
      <c r="A53" s="168" t="str">
        <f>Dec!A56</f>
        <v>BELARUS</v>
      </c>
      <c r="B53" s="293">
        <v>1015</v>
      </c>
      <c r="C53" s="294">
        <f>B53*Jan!B56</f>
        <v>1319.5</v>
      </c>
      <c r="D53" s="295">
        <f>B53*Feb!B56</f>
        <v>1218</v>
      </c>
      <c r="E53" s="294">
        <f>B53*Mar!B56</f>
        <v>203</v>
      </c>
      <c r="F53" s="294">
        <f>B53*Apr!B56</f>
        <v>2131.5</v>
      </c>
      <c r="G53" s="185">
        <f>B53*May!B56</f>
        <v>2639</v>
      </c>
      <c r="H53" s="185">
        <f>B53*Jun!B56</f>
        <v>2537.5</v>
      </c>
      <c r="I53" s="185">
        <f>B53*Jul!B56</f>
        <v>2233</v>
      </c>
      <c r="J53" s="185">
        <f>B53*Aug!B56</f>
        <v>2334.5</v>
      </c>
      <c r="K53" s="185">
        <f>B53*Sep!B56</f>
        <v>3654</v>
      </c>
      <c r="L53" s="185">
        <f>Oct!B56*B53</f>
        <v>3755.5</v>
      </c>
      <c r="M53" s="185">
        <f>B53*Nov!B56</f>
        <v>2334.5</v>
      </c>
      <c r="N53" s="185">
        <f>B53*Dec!B56</f>
        <v>0</v>
      </c>
    </row>
    <row r="54" spans="1:14">
      <c r="A54" s="168" t="str">
        <f>Dec!A57</f>
        <v>REP. OF  MOLDOVA</v>
      </c>
      <c r="B54" s="293">
        <v>1590</v>
      </c>
      <c r="C54" s="294">
        <f>B54*Jan!B57</f>
        <v>954</v>
      </c>
      <c r="D54" s="295">
        <f>B54*Feb!B57</f>
        <v>954</v>
      </c>
      <c r="E54" s="294">
        <f>B54*Mar!B57</f>
        <v>1272</v>
      </c>
      <c r="F54" s="294">
        <f>B54*Apr!B57</f>
        <v>1272</v>
      </c>
      <c r="G54" s="185">
        <f>B54*May!B57</f>
        <v>1590</v>
      </c>
      <c r="H54" s="185">
        <f>B54*Jun!B57</f>
        <v>1590</v>
      </c>
      <c r="I54" s="185">
        <f>B54*Jul!B57</f>
        <v>1431</v>
      </c>
      <c r="J54" s="185">
        <f>B54*Aug!B57</f>
        <v>1590</v>
      </c>
      <c r="K54" s="185">
        <f>B54*Sep!B57</f>
        <v>1749.0000000000002</v>
      </c>
      <c r="L54" s="185">
        <f>Oct!B57*B54</f>
        <v>1749.0000000000002</v>
      </c>
      <c r="M54" s="185">
        <f>B54*Nov!B57</f>
        <v>1749.0000000000002</v>
      </c>
      <c r="N54" s="185">
        <f>B54*Dec!B57</f>
        <v>0</v>
      </c>
    </row>
    <row r="55" spans="1:14">
      <c r="A55" s="168" t="str">
        <f>Dec!A58</f>
        <v>UZBEKISTAN</v>
      </c>
      <c r="B55" s="185">
        <v>1738</v>
      </c>
      <c r="C55" s="294">
        <f>B55*Jan!B58</f>
        <v>347.6</v>
      </c>
      <c r="D55" s="295">
        <f>B55*Feb!B58</f>
        <v>347.6</v>
      </c>
      <c r="E55" s="294">
        <f>B55*Mar!B58</f>
        <v>521.4</v>
      </c>
      <c r="F55" s="294">
        <f>B55*Apr!B58</f>
        <v>695.2</v>
      </c>
      <c r="G55" s="185">
        <f>B55*May!B58</f>
        <v>695.2</v>
      </c>
      <c r="H55" s="185">
        <f>B55*Jun!B58</f>
        <v>521.4</v>
      </c>
      <c r="I55" s="185">
        <f>B55*Jul!B58</f>
        <v>695.2</v>
      </c>
      <c r="J55" s="185">
        <f>B55*Aug!B58</f>
        <v>695.2</v>
      </c>
      <c r="K55" s="185">
        <f>B55*Sep!B58</f>
        <v>695.2</v>
      </c>
      <c r="L55" s="185">
        <f>Oct!B58*B55</f>
        <v>695.2</v>
      </c>
      <c r="M55" s="185">
        <f>B55*Nov!B58</f>
        <v>521.4</v>
      </c>
      <c r="N55" s="185">
        <f>B55*Dec!B58</f>
        <v>0</v>
      </c>
    </row>
    <row r="56" spans="1:14">
      <c r="A56" s="168" t="str">
        <f>Dec!A59</f>
        <v>KAZAKHISTAN</v>
      </c>
      <c r="B56" s="293">
        <v>2123</v>
      </c>
      <c r="C56" s="294">
        <f>B56*Jan!B59</f>
        <v>849.2</v>
      </c>
      <c r="D56" s="295">
        <f>B56*Feb!B59</f>
        <v>636.9</v>
      </c>
      <c r="E56" s="294">
        <f>B56*Mar!B59</f>
        <v>1486.1</v>
      </c>
      <c r="F56" s="294">
        <f>B56*Apr!B59</f>
        <v>1061.5</v>
      </c>
      <c r="G56" s="185">
        <f>B56*May!B59</f>
        <v>1273.8</v>
      </c>
      <c r="H56" s="185">
        <f>B56*Jun!B59</f>
        <v>1486.1</v>
      </c>
      <c r="I56" s="185">
        <f>B56*Jul!B59</f>
        <v>1698.4</v>
      </c>
      <c r="J56" s="185">
        <f>B56*Aug!B59</f>
        <v>1910.7</v>
      </c>
      <c r="K56" s="185">
        <f>B56*Sep!B59</f>
        <v>1698.4</v>
      </c>
      <c r="L56" s="185">
        <f>Oct!B59*B56</f>
        <v>2972.2</v>
      </c>
      <c r="M56" s="185">
        <f>B56*Nov!B59</f>
        <v>2335.3000000000002</v>
      </c>
      <c r="N56" s="185">
        <f>B56*Dec!B59</f>
        <v>0</v>
      </c>
    </row>
    <row r="57" spans="1:14">
      <c r="A57" s="168" t="str">
        <f>Dec!A60</f>
        <v>OTHER CIS</v>
      </c>
      <c r="B57" s="185">
        <v>1738</v>
      </c>
      <c r="C57" s="294">
        <f>B57*Jan!B60</f>
        <v>869</v>
      </c>
      <c r="D57" s="295">
        <f>B57*Feb!B60</f>
        <v>695.2</v>
      </c>
      <c r="E57" s="294">
        <f>B57*Mar!B60</f>
        <v>1216.5999999999999</v>
      </c>
      <c r="F57" s="294">
        <f>B57*Apr!B60</f>
        <v>1042.8</v>
      </c>
      <c r="G57" s="185">
        <f>B57*May!B60</f>
        <v>1216.5999999999999</v>
      </c>
      <c r="H57" s="185">
        <f>B57*Jun!B60</f>
        <v>1216.5999999999999</v>
      </c>
      <c r="I57" s="185">
        <f>B57*Jul!B60</f>
        <v>1042.8</v>
      </c>
      <c r="J57" s="185">
        <f>B57*Aug!B60</f>
        <v>1042.8</v>
      </c>
      <c r="K57" s="185">
        <f>B57*Sep!B60</f>
        <v>1042.8</v>
      </c>
      <c r="L57" s="185">
        <f>Oct!B60*B57</f>
        <v>1390.4</v>
      </c>
      <c r="M57" s="185">
        <f>B57*Nov!B60</f>
        <v>1216.5999999999999</v>
      </c>
      <c r="N57" s="185">
        <f>B57*Dec!B60</f>
        <v>0</v>
      </c>
    </row>
    <row r="58" spans="1:14">
      <c r="A58" s="168"/>
      <c r="B58" s="293"/>
      <c r="C58" s="294"/>
      <c r="D58" s="295"/>
      <c r="E58" s="294"/>
      <c r="F58" s="294"/>
      <c r="G58" s="185"/>
      <c r="H58" s="185"/>
      <c r="I58" s="185"/>
      <c r="J58" s="185"/>
      <c r="K58" s="185"/>
      <c r="L58" s="185"/>
      <c r="M58" s="185"/>
      <c r="N58" s="185"/>
    </row>
    <row r="59" spans="1:14">
      <c r="A59" s="168" t="str">
        <f>Dec!A62</f>
        <v>GEORGIA</v>
      </c>
      <c r="B59" s="185">
        <v>1590</v>
      </c>
      <c r="C59" s="294">
        <f>B59*Jan!B62</f>
        <v>2226</v>
      </c>
      <c r="D59" s="295">
        <f>B59*Feb!B62</f>
        <v>1908</v>
      </c>
      <c r="E59" s="294">
        <f>B59*Mar!B62</f>
        <v>1590</v>
      </c>
      <c r="F59" s="294">
        <f>B59*Apr!B62</f>
        <v>1431</v>
      </c>
      <c r="G59" s="185">
        <f>B59*May!B62</f>
        <v>1272</v>
      </c>
      <c r="H59" s="185">
        <f>B59*Jun!B62</f>
        <v>1272</v>
      </c>
      <c r="I59" s="185">
        <f>B59*Jul!B62</f>
        <v>1113</v>
      </c>
      <c r="J59" s="185">
        <f>B59*Aug!B62</f>
        <v>1590</v>
      </c>
      <c r="K59" s="185">
        <f>B59*Sep!B62</f>
        <v>1272</v>
      </c>
      <c r="L59" s="185">
        <f>Oct!B62*B59</f>
        <v>1749.0000000000002</v>
      </c>
      <c r="M59" s="185">
        <f>B59*Nov!B62</f>
        <v>1431</v>
      </c>
      <c r="N59" s="185">
        <f>B59*Dec!B62</f>
        <v>0</v>
      </c>
    </row>
    <row r="60" spans="1:14">
      <c r="A60" s="168" t="str">
        <f>Dec!A63</f>
        <v>ESTONIA</v>
      </c>
      <c r="B60" s="185">
        <v>1590</v>
      </c>
      <c r="C60" s="294">
        <f>B60*Jan!B63</f>
        <v>318</v>
      </c>
      <c r="D60" s="295">
        <f>B60*Feb!B63</f>
        <v>636</v>
      </c>
      <c r="E60" s="294">
        <f>B60*Mar!B63</f>
        <v>636</v>
      </c>
      <c r="F60" s="294">
        <f>B60*Apr!B63</f>
        <v>477</v>
      </c>
      <c r="G60" s="185">
        <f>B60*May!B63</f>
        <v>318</v>
      </c>
      <c r="H60" s="185">
        <f>B60*Jun!B63</f>
        <v>318</v>
      </c>
      <c r="I60" s="185">
        <f>B60*Jul!B63</f>
        <v>318</v>
      </c>
      <c r="J60" s="185">
        <f>B60*Aug!B63</f>
        <v>318</v>
      </c>
      <c r="K60" s="185">
        <f>B60*Sep!B63</f>
        <v>477</v>
      </c>
      <c r="L60" s="185">
        <f>Oct!B63*B60</f>
        <v>1590</v>
      </c>
      <c r="M60" s="185">
        <f>B60*Nov!B63</f>
        <v>1272</v>
      </c>
      <c r="N60" s="185">
        <f>B60*Dec!B63</f>
        <v>0</v>
      </c>
    </row>
    <row r="61" spans="1:14">
      <c r="A61" s="168" t="str">
        <f>Dec!A64</f>
        <v>LITHUANIA</v>
      </c>
      <c r="B61" s="185">
        <v>1590</v>
      </c>
      <c r="C61" s="294">
        <f>B61*Jan!B64</f>
        <v>2544</v>
      </c>
      <c r="D61" s="295">
        <f>B61*Feb!B64</f>
        <v>3339</v>
      </c>
      <c r="E61" s="294">
        <f>B61*Mar!B64</f>
        <v>3021</v>
      </c>
      <c r="F61" s="294">
        <f>B61*Apr!B64</f>
        <v>1908</v>
      </c>
      <c r="G61" s="185">
        <f>B61*May!B64</f>
        <v>1431</v>
      </c>
      <c r="H61" s="185">
        <f>B61*Jun!B64</f>
        <v>1113</v>
      </c>
      <c r="I61" s="185">
        <f>B61*Jul!B64</f>
        <v>795</v>
      </c>
      <c r="J61" s="185">
        <f>B61*Aug!B64</f>
        <v>1590</v>
      </c>
      <c r="K61" s="185">
        <f>B61*Sep!B64</f>
        <v>1749.0000000000002</v>
      </c>
      <c r="L61" s="185">
        <f>Oct!B64*B61</f>
        <v>3498.0000000000005</v>
      </c>
      <c r="M61" s="185">
        <f>B61*Nov!B64</f>
        <v>4134</v>
      </c>
      <c r="N61" s="185">
        <f>B61*Dec!B64</f>
        <v>0</v>
      </c>
    </row>
    <row r="62" spans="1:14">
      <c r="A62" s="168" t="str">
        <f>Dec!A65</f>
        <v>LATVIA</v>
      </c>
      <c r="B62" s="185">
        <v>1590</v>
      </c>
      <c r="C62" s="294">
        <f>B62*Jan!B65</f>
        <v>1272</v>
      </c>
      <c r="D62" s="295">
        <f>B62*Feb!B65</f>
        <v>1431</v>
      </c>
      <c r="E62" s="294">
        <f>B62*Mar!B65</f>
        <v>2385</v>
      </c>
      <c r="F62" s="294">
        <f>B62*Apr!B65</f>
        <v>1749.0000000000002</v>
      </c>
      <c r="G62" s="185">
        <f>B62*May!B65</f>
        <v>1590</v>
      </c>
      <c r="H62" s="185">
        <f>B62*Jun!B65</f>
        <v>1272</v>
      </c>
      <c r="I62" s="185">
        <f>B62*Jul!B65</f>
        <v>795</v>
      </c>
      <c r="J62" s="185">
        <f>B62*Aug!B65</f>
        <v>636</v>
      </c>
      <c r="K62" s="185">
        <f>B62*Sep!B65</f>
        <v>1272</v>
      </c>
      <c r="L62" s="185">
        <f>Oct!B65*B62</f>
        <v>2385</v>
      </c>
      <c r="M62" s="185">
        <f>B62*Nov!B65</f>
        <v>3816</v>
      </c>
      <c r="N62" s="185">
        <f>B62*Dec!B65</f>
        <v>0</v>
      </c>
    </row>
    <row r="63" spans="1:14">
      <c r="A63" s="168"/>
      <c r="B63" s="293"/>
      <c r="C63" s="294"/>
      <c r="D63" s="295"/>
      <c r="E63" s="294"/>
      <c r="F63" s="294"/>
      <c r="G63" s="185"/>
      <c r="H63" s="185"/>
      <c r="I63" s="185"/>
      <c r="J63" s="185"/>
      <c r="K63" s="185"/>
      <c r="L63" s="185"/>
      <c r="M63" s="185"/>
      <c r="N63" s="185"/>
    </row>
    <row r="64" spans="1:14">
      <c r="A64" s="168" t="str">
        <f>Dec!A67</f>
        <v>POLAND</v>
      </c>
      <c r="B64" s="293">
        <v>792</v>
      </c>
      <c r="C64" s="294">
        <f>B64*Jan!B67</f>
        <v>5464.8</v>
      </c>
      <c r="D64" s="295">
        <f>B64*Feb!B67</f>
        <v>6256.8</v>
      </c>
      <c r="E64" s="294">
        <f>B64*Mar!B67</f>
        <v>5068.8</v>
      </c>
      <c r="F64" s="294">
        <f>B64*Apr!B67</f>
        <v>5702.4000000000005</v>
      </c>
      <c r="G64" s="185">
        <f>B64*May!B67</f>
        <v>3801.6</v>
      </c>
      <c r="H64" s="185">
        <f>B64*Jun!B67</f>
        <v>3960</v>
      </c>
      <c r="I64" s="185">
        <f>B64*Jul!B67</f>
        <v>3960</v>
      </c>
      <c r="J64" s="185">
        <f>B64*Aug!B67</f>
        <v>2772</v>
      </c>
      <c r="K64" s="185">
        <f>B64*Sep!B67</f>
        <v>6336</v>
      </c>
      <c r="L64" s="185">
        <f>Oct!B67*B64</f>
        <v>8712</v>
      </c>
      <c r="M64" s="185">
        <f>B64*Nov!B67</f>
        <v>15364.8</v>
      </c>
      <c r="N64" s="185">
        <f>B64*Dec!B67</f>
        <v>0</v>
      </c>
    </row>
    <row r="65" spans="1:14">
      <c r="A65" s="168" t="str">
        <f>Dec!A68</f>
        <v>HUNGARY</v>
      </c>
      <c r="B65" s="293">
        <v>1000</v>
      </c>
      <c r="C65" s="294">
        <f>B65*Jan!B68</f>
        <v>1400</v>
      </c>
      <c r="D65" s="295">
        <f>B65*Feb!B68</f>
        <v>1800</v>
      </c>
      <c r="E65" s="294">
        <f>B65*Mar!B68</f>
        <v>2400</v>
      </c>
      <c r="F65" s="294">
        <f>B65*Apr!B68</f>
        <v>1300</v>
      </c>
      <c r="G65" s="185">
        <f>B65*May!B68</f>
        <v>1800</v>
      </c>
      <c r="H65" s="185">
        <f>B65*Jun!B68</f>
        <v>1700</v>
      </c>
      <c r="I65" s="185">
        <f>B65*Jul!B68</f>
        <v>1500</v>
      </c>
      <c r="J65" s="185">
        <f>B65*Aug!B68</f>
        <v>800</v>
      </c>
      <c r="K65" s="185">
        <f>B65*Sep!B68</f>
        <v>1500</v>
      </c>
      <c r="L65" s="185">
        <f>Oct!B68*B65</f>
        <v>2900</v>
      </c>
      <c r="M65" s="185">
        <f>B65*Nov!B68</f>
        <v>3600</v>
      </c>
      <c r="N65" s="185">
        <f>B65*Dec!B68</f>
        <v>0</v>
      </c>
    </row>
    <row r="66" spans="1:14">
      <c r="A66" s="168" t="str">
        <f>Dec!A69</f>
        <v>CROATIA</v>
      </c>
      <c r="B66" s="185">
        <v>1590</v>
      </c>
      <c r="C66" s="294">
        <f>B66*Jan!B69</f>
        <v>477</v>
      </c>
      <c r="D66" s="295">
        <f>B66*Feb!B69</f>
        <v>636</v>
      </c>
      <c r="E66" s="294">
        <f>B66*Mar!B69</f>
        <v>954</v>
      </c>
      <c r="F66" s="294">
        <f>B66*Apr!B69</f>
        <v>795</v>
      </c>
      <c r="G66" s="185">
        <f>B66*May!B69</f>
        <v>636</v>
      </c>
      <c r="H66" s="185">
        <f>B66*Jun!B69</f>
        <v>954</v>
      </c>
      <c r="I66" s="185">
        <f>B66*Jul!B69</f>
        <v>636</v>
      </c>
      <c r="J66" s="185">
        <f>B66*Aug!B69</f>
        <v>477</v>
      </c>
      <c r="K66" s="185">
        <f>B66*Sep!B69</f>
        <v>795</v>
      </c>
      <c r="L66" s="185">
        <f>Oct!B69*B66</f>
        <v>1113</v>
      </c>
      <c r="M66" s="185">
        <f>B66*Nov!B69</f>
        <v>1908</v>
      </c>
      <c r="N66" s="185">
        <f>B66*Dec!B69</f>
        <v>0</v>
      </c>
    </row>
    <row r="67" spans="1:14">
      <c r="A67" s="168" t="str">
        <f>Dec!A70</f>
        <v>SLOVENIA</v>
      </c>
      <c r="B67" s="185">
        <v>1590</v>
      </c>
      <c r="C67" s="294">
        <f>B67*Jan!B70</f>
        <v>159</v>
      </c>
      <c r="D67" s="295">
        <f>B67*Feb!B70</f>
        <v>477</v>
      </c>
      <c r="E67" s="294">
        <f>B67*Mar!B70</f>
        <v>477</v>
      </c>
      <c r="F67" s="294">
        <f>B67*Apr!B70</f>
        <v>318</v>
      </c>
      <c r="G67" s="185">
        <f>B67*May!B70</f>
        <v>159</v>
      </c>
      <c r="H67" s="185">
        <f>B67*Jun!B70</f>
        <v>477</v>
      </c>
      <c r="I67" s="185">
        <f>B67*Jul!B70</f>
        <v>159</v>
      </c>
      <c r="J67" s="185">
        <f>B67*Aug!B70</f>
        <v>318</v>
      </c>
      <c r="K67" s="185">
        <f>B67*Sep!B70</f>
        <v>318</v>
      </c>
      <c r="L67" s="185">
        <f>Oct!B70*B67</f>
        <v>636</v>
      </c>
      <c r="M67" s="185">
        <f>B67*Nov!B70</f>
        <v>477</v>
      </c>
      <c r="N67" s="185">
        <f>B67*Dec!B70</f>
        <v>0</v>
      </c>
    </row>
    <row r="68" spans="1:14">
      <c r="A68" s="168" t="str">
        <f>Dec!A71</f>
        <v>SERBIA</v>
      </c>
      <c r="B68" s="185">
        <v>1590</v>
      </c>
      <c r="C68" s="294">
        <f>B68*Jan!B71</f>
        <v>795</v>
      </c>
      <c r="D68" s="295">
        <f>B68*Feb!B71</f>
        <v>795</v>
      </c>
      <c r="E68" s="294">
        <f>B68*Mar!B71</f>
        <v>795</v>
      </c>
      <c r="F68" s="294">
        <f>B68*Apr!B71</f>
        <v>1113</v>
      </c>
      <c r="G68" s="185">
        <f>B68*May!B71</f>
        <v>795</v>
      </c>
      <c r="H68" s="185">
        <f>B68*Jun!B71</f>
        <v>636</v>
      </c>
      <c r="I68" s="185">
        <f>B68*Jul!B71</f>
        <v>477</v>
      </c>
      <c r="J68" s="185">
        <f>B68*Aug!B71</f>
        <v>636</v>
      </c>
      <c r="K68" s="185">
        <f>B68*Sep!B71</f>
        <v>954</v>
      </c>
      <c r="L68" s="185">
        <f>Oct!B71*B68</f>
        <v>795</v>
      </c>
      <c r="M68" s="185">
        <f>B68*Nov!B71</f>
        <v>1431</v>
      </c>
      <c r="N68" s="185">
        <f>B68*Dec!B71</f>
        <v>0</v>
      </c>
    </row>
    <row r="69" spans="1:14">
      <c r="A69" s="168" t="str">
        <f>Dec!A72</f>
        <v>ROMANIA</v>
      </c>
      <c r="B69" s="293">
        <v>784</v>
      </c>
      <c r="C69" s="294">
        <f>B69*Jan!B72</f>
        <v>3528</v>
      </c>
      <c r="D69" s="295">
        <f>B69*Feb!B72</f>
        <v>3998.3999999999996</v>
      </c>
      <c r="E69" s="294">
        <f>B69*Mar!B72</f>
        <v>5331.2</v>
      </c>
      <c r="F69" s="294">
        <f>B69*Apr!B72</f>
        <v>6193.6</v>
      </c>
      <c r="G69" s="185">
        <f>B69*May!B72</f>
        <v>6664</v>
      </c>
      <c r="H69" s="185">
        <f>B69*Jun!B72</f>
        <v>3292.8</v>
      </c>
      <c r="I69" s="185">
        <f>B69*Jul!B72</f>
        <v>1881.6</v>
      </c>
      <c r="J69" s="185">
        <f>B69*Aug!B72</f>
        <v>3449.6000000000004</v>
      </c>
      <c r="K69" s="185">
        <f>B69*Sep!B72</f>
        <v>5409.6</v>
      </c>
      <c r="L69" s="185">
        <f>Oct!B72*B69</f>
        <v>9643.2000000000007</v>
      </c>
      <c r="M69" s="185">
        <f>B69*Nov!B72</f>
        <v>9172.7999999999993</v>
      </c>
      <c r="N69" s="185">
        <f>B69*Dec!B72</f>
        <v>0</v>
      </c>
    </row>
    <row r="70" spans="1:14">
      <c r="A70" s="168" t="str">
        <f>Dec!A73</f>
        <v>BULGARIA</v>
      </c>
      <c r="B70" s="185">
        <v>1590</v>
      </c>
      <c r="C70" s="294">
        <f>B70*Jan!B73</f>
        <v>954</v>
      </c>
      <c r="D70" s="295">
        <f>B70*Feb!B73</f>
        <v>795</v>
      </c>
      <c r="E70" s="294">
        <f>B70*Mar!B73</f>
        <v>1272</v>
      </c>
      <c r="F70" s="294">
        <f>B70*Apr!B73</f>
        <v>1749.0000000000002</v>
      </c>
      <c r="G70" s="185">
        <f>B70*May!B73</f>
        <v>2067</v>
      </c>
      <c r="H70" s="185">
        <f>B70*Jun!B73</f>
        <v>1113</v>
      </c>
      <c r="I70" s="185">
        <f>B70*Jul!B73</f>
        <v>954</v>
      </c>
      <c r="J70" s="185">
        <f>B70*Aug!B73</f>
        <v>636</v>
      </c>
      <c r="K70" s="185">
        <f>B70*Sep!B73</f>
        <v>1749.0000000000002</v>
      </c>
      <c r="L70" s="185">
        <f>Oct!B73*B70</f>
        <v>2226</v>
      </c>
      <c r="M70" s="185">
        <f>B70*Nov!B73</f>
        <v>3498.0000000000005</v>
      </c>
      <c r="N70" s="185">
        <f>B70*Dec!B73</f>
        <v>0</v>
      </c>
    </row>
    <row r="71" spans="1:14">
      <c r="A71" s="168" t="str">
        <f>Dec!A74</f>
        <v>CZECH REP.</v>
      </c>
      <c r="B71" s="293">
        <v>835</v>
      </c>
      <c r="C71" s="294">
        <f>B71*Jan!B74</f>
        <v>835</v>
      </c>
      <c r="D71" s="295">
        <f>B71*Feb!B74</f>
        <v>1252.5</v>
      </c>
      <c r="E71" s="294">
        <f>B71*Mar!B74</f>
        <v>2087.5</v>
      </c>
      <c r="F71" s="294">
        <f>B71*Apr!B74</f>
        <v>1503</v>
      </c>
      <c r="G71" s="185">
        <f>B71*May!B74</f>
        <v>1753.5</v>
      </c>
      <c r="H71" s="185">
        <f>B71*Jun!B74</f>
        <v>1419.5</v>
      </c>
      <c r="I71" s="185">
        <f>B71*Jul!B74</f>
        <v>1336</v>
      </c>
      <c r="J71" s="185">
        <f>B71*Aug!B74</f>
        <v>918.50000000000011</v>
      </c>
      <c r="K71" s="185">
        <f>B71*Sep!B74</f>
        <v>1503</v>
      </c>
      <c r="L71" s="185">
        <f>Oct!B74*B71</f>
        <v>2338</v>
      </c>
      <c r="M71" s="185">
        <f>B71*Nov!B74</f>
        <v>3590.5</v>
      </c>
      <c r="N71" s="185">
        <f>B71*Dec!B74</f>
        <v>0</v>
      </c>
    </row>
    <row r="72" spans="1:14">
      <c r="A72" s="168" t="str">
        <f>Dec!A75</f>
        <v>SLOVAKIA</v>
      </c>
      <c r="B72" s="185">
        <v>1590</v>
      </c>
      <c r="C72" s="294">
        <f>B72*Jan!B75</f>
        <v>1272</v>
      </c>
      <c r="D72" s="295">
        <f>B72*Feb!B75</f>
        <v>2067</v>
      </c>
      <c r="E72" s="294">
        <f>B72*Mar!B75</f>
        <v>3656.9999999999995</v>
      </c>
      <c r="F72" s="294">
        <f>B72*Apr!B75</f>
        <v>1590</v>
      </c>
      <c r="G72" s="185">
        <f>B72*May!B75</f>
        <v>2067</v>
      </c>
      <c r="H72" s="185">
        <f>B72*Jun!B75</f>
        <v>1113</v>
      </c>
      <c r="I72" s="185">
        <f>B72*Jul!B75</f>
        <v>954</v>
      </c>
      <c r="J72" s="185">
        <f>B72*Aug!B75</f>
        <v>636</v>
      </c>
      <c r="K72" s="185">
        <f>B72*Sep!B75</f>
        <v>1590</v>
      </c>
      <c r="L72" s="185">
        <f>Oct!B75*B72</f>
        <v>2703</v>
      </c>
      <c r="M72" s="185">
        <f>B72*Nov!B75</f>
        <v>3656.9999999999995</v>
      </c>
      <c r="N72" s="185">
        <f>B72*Dec!B75</f>
        <v>0</v>
      </c>
    </row>
    <row r="73" spans="1:14">
      <c r="A73" s="168" t="str">
        <f>Dec!A76</f>
        <v>GREECE</v>
      </c>
      <c r="B73" s="293">
        <v>836</v>
      </c>
      <c r="C73" s="294">
        <f>B73*Jan!B76</f>
        <v>1588.3999999999999</v>
      </c>
      <c r="D73" s="295">
        <f>B73*Feb!B76</f>
        <v>1504.8</v>
      </c>
      <c r="E73" s="294">
        <f>B73*Mar!B76</f>
        <v>1504.8</v>
      </c>
      <c r="F73" s="294">
        <f>B73*Apr!B76</f>
        <v>2173.6</v>
      </c>
      <c r="G73" s="185">
        <f>B73*May!B76</f>
        <v>2424.4</v>
      </c>
      <c r="H73" s="185">
        <f>B73*Jun!B76</f>
        <v>2090</v>
      </c>
      <c r="I73" s="185">
        <f>B73*Jul!B76</f>
        <v>1504.8</v>
      </c>
      <c r="J73" s="185">
        <f>B73*Aug!B76</f>
        <v>1504.8</v>
      </c>
      <c r="K73" s="185">
        <f>B73*Sep!B76</f>
        <v>2508</v>
      </c>
      <c r="L73" s="185">
        <f>Oct!B76*B73</f>
        <v>2842.4</v>
      </c>
      <c r="M73" s="185">
        <f>B73*Nov!B76</f>
        <v>2591.6</v>
      </c>
      <c r="N73" s="185">
        <f>B73*Dec!B76</f>
        <v>0</v>
      </c>
    </row>
    <row r="74" spans="1:14">
      <c r="A74" s="168" t="str">
        <f>Dec!A77</f>
        <v xml:space="preserve"> OTHER</v>
      </c>
      <c r="B74" s="185">
        <v>1590</v>
      </c>
      <c r="C74" s="294">
        <f>B74*Jan!B77</f>
        <v>477</v>
      </c>
      <c r="D74" s="295">
        <f>B74*Feb!B77</f>
        <v>954</v>
      </c>
      <c r="E74" s="294">
        <f>B74*Mar!B77</f>
        <v>795</v>
      </c>
      <c r="F74" s="294">
        <f>B74*Apr!B77</f>
        <v>795</v>
      </c>
      <c r="G74" s="185">
        <f>B74*May!B77</f>
        <v>795</v>
      </c>
      <c r="H74" s="185">
        <f>B74*Jun!B77</f>
        <v>1113</v>
      </c>
      <c r="I74" s="185">
        <f>B74*Jul!B77</f>
        <v>636</v>
      </c>
      <c r="J74" s="185">
        <f>B74*Aug!B77</f>
        <v>795</v>
      </c>
      <c r="K74" s="185">
        <f>B74*Sep!B77</f>
        <v>954</v>
      </c>
      <c r="L74" s="185">
        <f>Oct!B77*B74</f>
        <v>1113</v>
      </c>
      <c r="M74" s="185">
        <f>B74*Nov!B77</f>
        <v>1749.0000000000002</v>
      </c>
      <c r="N74" s="185">
        <f>B74*Dec!B77</f>
        <v>0</v>
      </c>
    </row>
    <row r="75" spans="1:14">
      <c r="A75" s="168"/>
      <c r="B75" s="293"/>
      <c r="C75" s="294"/>
      <c r="D75" s="295"/>
      <c r="E75" s="294"/>
      <c r="F75" s="294"/>
      <c r="G75" s="185"/>
      <c r="H75" s="185"/>
      <c r="I75" s="185"/>
      <c r="J75" s="185"/>
      <c r="K75" s="185"/>
      <c r="L75" s="185"/>
      <c r="M75" s="185"/>
      <c r="N75" s="185"/>
    </row>
    <row r="76" spans="1:14">
      <c r="A76" s="168"/>
      <c r="B76" s="293"/>
      <c r="C76" s="294"/>
      <c r="D76" s="295"/>
      <c r="E76" s="294"/>
      <c r="F76" s="294"/>
      <c r="G76" s="185"/>
      <c r="H76" s="185"/>
      <c r="I76" s="185"/>
      <c r="J76" s="185"/>
      <c r="K76" s="185"/>
      <c r="L76" s="185"/>
      <c r="M76" s="185"/>
      <c r="N76" s="185"/>
    </row>
    <row r="77" spans="1:14">
      <c r="A77" s="168" t="str">
        <f>Dec!A80</f>
        <v>UNITED STATES</v>
      </c>
      <c r="B77" s="293">
        <v>2146</v>
      </c>
      <c r="C77" s="294">
        <f>B77*Jan!B80</f>
        <v>110948.20000000001</v>
      </c>
      <c r="D77" s="295">
        <f>B77*Feb!B80</f>
        <v>98716</v>
      </c>
      <c r="E77" s="294">
        <f>B77*Mar!B80</f>
        <v>135627.20000000001</v>
      </c>
      <c r="F77" s="294">
        <f>B77*Apr!B80</f>
        <v>148288.59999999998</v>
      </c>
      <c r="G77" s="185">
        <f>B77*May!B80</f>
        <v>171894.59999999998</v>
      </c>
      <c r="H77" s="185">
        <f>B77*Jun!B80</f>
        <v>193569.2</v>
      </c>
      <c r="I77" s="185">
        <f>B77*Jul!B80</f>
        <v>137987.79999999999</v>
      </c>
      <c r="J77" s="185">
        <f>B77*Aug!B80</f>
        <v>122751.20000000001</v>
      </c>
      <c r="K77" s="185">
        <f>B77*Sep!B80</f>
        <v>109446</v>
      </c>
      <c r="L77" s="185">
        <f>Oct!B80*B77</f>
        <v>166744.20000000001</v>
      </c>
      <c r="M77" s="185">
        <f>B77*Nov!B80</f>
        <v>140992.20000000001</v>
      </c>
      <c r="N77" s="185">
        <f>B77*Dec!B80</f>
        <v>0</v>
      </c>
    </row>
    <row r="78" spans="1:14">
      <c r="A78" s="168" t="str">
        <f>Dec!A81</f>
        <v>CANADA</v>
      </c>
      <c r="B78" s="293">
        <v>1916</v>
      </c>
      <c r="C78" s="294">
        <f>B78*Jan!B81</f>
        <v>7472.4</v>
      </c>
      <c r="D78" s="295">
        <f>B78*Feb!B81</f>
        <v>8238.7999999999993</v>
      </c>
      <c r="E78" s="294">
        <f>B78*Mar!B81</f>
        <v>12262.400000000001</v>
      </c>
      <c r="F78" s="294">
        <f>B78*Apr!B81</f>
        <v>13986.8</v>
      </c>
      <c r="G78" s="185">
        <f>B78*May!B81</f>
        <v>18968.400000000001</v>
      </c>
      <c r="H78" s="185">
        <f>B78*Jun!B81</f>
        <v>13220.400000000001</v>
      </c>
      <c r="I78" s="185">
        <f>B78*Jul!B81</f>
        <v>15519.599999999999</v>
      </c>
      <c r="J78" s="185">
        <f>B78*Aug!B81</f>
        <v>11496</v>
      </c>
      <c r="K78" s="185">
        <f>B78*Sep!B81</f>
        <v>11304.400000000001</v>
      </c>
      <c r="L78" s="185">
        <f>Oct!B81*B78</f>
        <v>18202</v>
      </c>
      <c r="M78" s="185">
        <f>B78*Nov!B81</f>
        <v>13412</v>
      </c>
      <c r="N78" s="185">
        <f>B78*Dec!B81</f>
        <v>0</v>
      </c>
    </row>
    <row r="79" spans="1:14">
      <c r="A79" s="168" t="str">
        <f>Dec!A82</f>
        <v>MEXICO</v>
      </c>
      <c r="B79" s="293">
        <v>2404</v>
      </c>
      <c r="C79" s="297">
        <f>B79*Jan!B82</f>
        <v>2404</v>
      </c>
      <c r="D79" s="295">
        <f>B79*Feb!B82</f>
        <v>2644.4</v>
      </c>
      <c r="E79" s="294">
        <f>B79*Mar!B82</f>
        <v>3606</v>
      </c>
      <c r="F79" s="294">
        <f>B79*Apr!B82</f>
        <v>6731.2</v>
      </c>
      <c r="G79" s="185">
        <f>B79*May!B82</f>
        <v>5529.2</v>
      </c>
      <c r="H79" s="185">
        <f>B79*Jun!B82</f>
        <v>6490.8</v>
      </c>
      <c r="I79" s="185">
        <f>B79*Jul!B82</f>
        <v>9375.6</v>
      </c>
      <c r="J79" s="185">
        <f>B79*Aug!B82</f>
        <v>4567.5999999999995</v>
      </c>
      <c r="K79" s="185">
        <f>B79*Sep!B82</f>
        <v>6010</v>
      </c>
      <c r="L79" s="185">
        <f>Oct!B82*B79</f>
        <v>7212</v>
      </c>
      <c r="M79" s="185">
        <f>B79*Nov!B82</f>
        <v>7692.8</v>
      </c>
      <c r="N79" s="185">
        <f>B79*Dec!B82</f>
        <v>0</v>
      </c>
    </row>
    <row r="80" spans="1:14">
      <c r="A80" s="168"/>
      <c r="B80" s="302"/>
      <c r="C80" s="300"/>
      <c r="D80" s="301"/>
      <c r="E80" s="294"/>
      <c r="F80" s="294"/>
      <c r="G80" s="185"/>
      <c r="H80" s="185"/>
      <c r="I80" s="185"/>
      <c r="J80" s="185"/>
      <c r="K80" s="185"/>
      <c r="L80" s="185"/>
      <c r="M80" s="185"/>
      <c r="N80" s="185"/>
    </row>
    <row r="81" spans="1:14">
      <c r="A81" s="168" t="str">
        <f>Dec!A84</f>
        <v>URUGUAY</v>
      </c>
      <c r="B81" s="185">
        <v>1926</v>
      </c>
      <c r="C81" s="294">
        <f>B81*Jan!B84</f>
        <v>577.79999999999995</v>
      </c>
      <c r="D81" s="295">
        <f>B81*Feb!B84</f>
        <v>385.20000000000005</v>
      </c>
      <c r="E81" s="294">
        <f>B81*Mar!B84</f>
        <v>385.20000000000005</v>
      </c>
      <c r="F81" s="294">
        <f>B81*Apr!B84</f>
        <v>577.79999999999995</v>
      </c>
      <c r="G81" s="185">
        <f>B81*May!B84</f>
        <v>577.79999999999995</v>
      </c>
      <c r="H81" s="185">
        <f>B81*Jun!B84</f>
        <v>1348.1999999999998</v>
      </c>
      <c r="I81" s="185">
        <f>B81*Jul!B84</f>
        <v>385.20000000000005</v>
      </c>
      <c r="J81" s="185">
        <f>B81*Aug!B84</f>
        <v>385.20000000000005</v>
      </c>
      <c r="K81" s="185">
        <f>B81*Sep!B84</f>
        <v>770.40000000000009</v>
      </c>
      <c r="L81" s="185">
        <f>Oct!B84*B81</f>
        <v>770.40000000000009</v>
      </c>
      <c r="M81" s="185">
        <f>B81*Nov!B84</f>
        <v>385.20000000000005</v>
      </c>
      <c r="N81" s="185">
        <f>B81*Dec!B84</f>
        <v>0</v>
      </c>
    </row>
    <row r="82" spans="1:14">
      <c r="A82" s="168" t="str">
        <f>Dec!A85</f>
        <v>ARGENTINA</v>
      </c>
      <c r="B82" s="293">
        <v>2091</v>
      </c>
      <c r="C82" s="294">
        <f>B82*Jan!B85</f>
        <v>9618.5999999999985</v>
      </c>
      <c r="D82" s="295">
        <f>B82*Feb!B85</f>
        <v>5854.7999999999993</v>
      </c>
      <c r="E82" s="294">
        <f>B82*Mar!B85</f>
        <v>3345.6000000000004</v>
      </c>
      <c r="F82" s="294">
        <f>B82*Apr!B85</f>
        <v>6691.2000000000007</v>
      </c>
      <c r="G82" s="185">
        <f>B82*May!B85</f>
        <v>6273</v>
      </c>
      <c r="H82" s="185">
        <f>B82*Jun!B85</f>
        <v>4391.1000000000004</v>
      </c>
      <c r="I82" s="185">
        <f>B82*Jul!B85</f>
        <v>7318.5</v>
      </c>
      <c r="J82" s="185">
        <f>B82*Aug!B85</f>
        <v>4182</v>
      </c>
      <c r="K82" s="185">
        <f>B82*Sep!B85</f>
        <v>5227.5</v>
      </c>
      <c r="L82" s="185">
        <f>Oct!B85*B82</f>
        <v>5436.6</v>
      </c>
      <c r="M82" s="185">
        <f>B82*Nov!B85</f>
        <v>3554.7</v>
      </c>
      <c r="N82" s="185">
        <f>B82*Dec!B85</f>
        <v>0</v>
      </c>
    </row>
    <row r="83" spans="1:14">
      <c r="A83" s="168" t="str">
        <f>Dec!A86</f>
        <v>BRAZIL</v>
      </c>
      <c r="B83" s="293">
        <v>2187</v>
      </c>
      <c r="C83" s="294">
        <f>B83*Jan!B86</f>
        <v>9185.4</v>
      </c>
      <c r="D83" s="295">
        <f>B83*Feb!B86</f>
        <v>7217.0999999999995</v>
      </c>
      <c r="E83" s="294">
        <f>B83*Mar!B86</f>
        <v>6561</v>
      </c>
      <c r="F83" s="294">
        <f>B83*Apr!B86</f>
        <v>6998.4000000000005</v>
      </c>
      <c r="G83" s="185">
        <f>B83*May!B86</f>
        <v>12465.9</v>
      </c>
      <c r="H83" s="185">
        <f>B83*Jun!B86</f>
        <v>11809.800000000001</v>
      </c>
      <c r="I83" s="185">
        <f>B83*Jul!B86</f>
        <v>10278.9</v>
      </c>
      <c r="J83" s="185">
        <f>B83*Aug!B86</f>
        <v>5467.5</v>
      </c>
      <c r="K83" s="185">
        <f>B83*Sep!B86</f>
        <v>10935</v>
      </c>
      <c r="L83" s="185">
        <f>Oct!B86*B83</f>
        <v>16621.2</v>
      </c>
      <c r="M83" s="185">
        <f>B83*Nov!B86</f>
        <v>14652.9</v>
      </c>
      <c r="N83" s="185">
        <f>B83*Dec!B86</f>
        <v>0</v>
      </c>
    </row>
    <row r="84" spans="1:14">
      <c r="A84" s="168" t="str">
        <f>Dec!A87</f>
        <v>CHILE</v>
      </c>
      <c r="B84" s="293">
        <v>2255</v>
      </c>
      <c r="C84" s="294">
        <f>B84*Jan!B87</f>
        <v>1353</v>
      </c>
      <c r="D84" s="295">
        <f>B84*Feb!B87</f>
        <v>2255</v>
      </c>
      <c r="E84" s="294">
        <f>B84*Mar!B87</f>
        <v>902</v>
      </c>
      <c r="F84" s="294">
        <f>B84*Apr!B87</f>
        <v>1127.5</v>
      </c>
      <c r="G84" s="185">
        <f>B84*May!B87</f>
        <v>1804</v>
      </c>
      <c r="H84" s="185">
        <f>B84*Jun!B87</f>
        <v>1353</v>
      </c>
      <c r="I84" s="185">
        <f>B84*Jul!B87</f>
        <v>1578.5</v>
      </c>
      <c r="J84" s="185">
        <f>B84*Aug!B87</f>
        <v>902</v>
      </c>
      <c r="K84" s="185">
        <f>B84*Sep!B87</f>
        <v>1578.5</v>
      </c>
      <c r="L84" s="185">
        <f>Oct!B87*B84</f>
        <v>1804</v>
      </c>
      <c r="M84" s="185">
        <f>B84*Nov!B87</f>
        <v>1127.5</v>
      </c>
      <c r="N84" s="185">
        <f>B84*Dec!B87</f>
        <v>0</v>
      </c>
    </row>
    <row r="85" spans="1:14">
      <c r="A85" s="168" t="str">
        <f>Dec!A88</f>
        <v>COLOMBIA</v>
      </c>
      <c r="B85" s="293">
        <v>2217</v>
      </c>
      <c r="C85" s="294">
        <f>B85*Jan!B88</f>
        <v>1108.5</v>
      </c>
      <c r="D85" s="295">
        <f>B85*Feb!B88</f>
        <v>1108.5</v>
      </c>
      <c r="E85" s="294">
        <f>B85*Mar!B88</f>
        <v>1330.2</v>
      </c>
      <c r="F85" s="294">
        <f>B85*Apr!B88</f>
        <v>1773.6000000000001</v>
      </c>
      <c r="G85" s="185">
        <f>B85*May!B88</f>
        <v>2882.1</v>
      </c>
      <c r="H85" s="185">
        <f>B85*Jun!B88</f>
        <v>3325.5</v>
      </c>
      <c r="I85" s="185">
        <f>B85*Jul!B88</f>
        <v>1773.6000000000001</v>
      </c>
      <c r="J85" s="185">
        <f>B85*Aug!B88</f>
        <v>1551.8999999999999</v>
      </c>
      <c r="K85" s="185">
        <f>B85*Sep!B88</f>
        <v>3103.7999999999997</v>
      </c>
      <c r="L85" s="185">
        <f>Oct!B88*B85</f>
        <v>3990.6</v>
      </c>
      <c r="M85" s="185">
        <f>B85*Nov!B88</f>
        <v>2217</v>
      </c>
      <c r="N85" s="185">
        <f>B85*Dec!B88</f>
        <v>0</v>
      </c>
    </row>
    <row r="86" spans="1:14">
      <c r="A86" s="168" t="str">
        <f>Dec!A89</f>
        <v>VENEZUELA</v>
      </c>
      <c r="B86" s="185">
        <v>1926</v>
      </c>
      <c r="C86" s="294">
        <f>B86*Jan!B89</f>
        <v>1926</v>
      </c>
      <c r="D86" s="295">
        <f>B86*Feb!B89</f>
        <v>192.60000000000002</v>
      </c>
      <c r="E86" s="294">
        <f>B86*Mar!B89</f>
        <v>192.60000000000002</v>
      </c>
      <c r="F86" s="294">
        <f>B86*Apr!B89</f>
        <v>192.60000000000002</v>
      </c>
      <c r="G86" s="185">
        <f>B86*May!B89</f>
        <v>192.60000000000002</v>
      </c>
      <c r="H86" s="185">
        <f>B86*Jun!B89</f>
        <v>192.60000000000002</v>
      </c>
      <c r="I86" s="185">
        <f>B86*Jul!B89</f>
        <v>385.20000000000005</v>
      </c>
      <c r="J86" s="185">
        <f>B86*Aug!B89</f>
        <v>192.60000000000002</v>
      </c>
      <c r="K86" s="185">
        <f>B86*Sep!B89</f>
        <v>192.60000000000002</v>
      </c>
      <c r="L86" s="185">
        <f>Oct!B89*B86</f>
        <v>192.60000000000002</v>
      </c>
      <c r="M86" s="185">
        <f>B86*Nov!B89</f>
        <v>192.60000000000002</v>
      </c>
      <c r="N86" s="185">
        <f>B86*Dec!B89</f>
        <v>0</v>
      </c>
    </row>
    <row r="87" spans="1:14">
      <c r="A87" s="168"/>
      <c r="B87" s="293"/>
      <c r="C87" s="294"/>
      <c r="D87" s="295"/>
      <c r="E87" s="294"/>
      <c r="F87" s="294"/>
      <c r="G87" s="185"/>
      <c r="H87" s="185"/>
      <c r="I87" s="185"/>
      <c r="J87" s="185"/>
      <c r="K87" s="185"/>
      <c r="L87" s="185"/>
      <c r="M87" s="185"/>
      <c r="N87" s="185"/>
    </row>
    <row r="88" spans="1:14">
      <c r="A88" s="168"/>
      <c r="B88" s="293"/>
      <c r="C88" s="294"/>
      <c r="D88" s="295"/>
      <c r="E88" s="294"/>
      <c r="F88" s="294"/>
      <c r="G88" s="185"/>
      <c r="H88" s="185"/>
      <c r="I88" s="185"/>
      <c r="J88" s="185"/>
      <c r="K88" s="185"/>
      <c r="L88" s="185"/>
      <c r="M88" s="185"/>
      <c r="N88" s="185"/>
    </row>
    <row r="89" spans="1:14">
      <c r="A89" s="168" t="str">
        <f>Dec!A92</f>
        <v>AUSTRALIA</v>
      </c>
      <c r="B89" s="293">
        <v>2132</v>
      </c>
      <c r="C89" s="294">
        <f>B89*Jan!B92</f>
        <v>4903.5999999999995</v>
      </c>
      <c r="D89" s="295">
        <f>B89*Feb!B92</f>
        <v>2771.6</v>
      </c>
      <c r="E89" s="294">
        <f>B89*Mar!B92</f>
        <v>4264</v>
      </c>
      <c r="F89" s="294">
        <f>B89*Apr!B92</f>
        <v>9167.6</v>
      </c>
      <c r="G89" s="185">
        <f>B89*May!B92</f>
        <v>7888.4000000000005</v>
      </c>
      <c r="H89" s="185">
        <f>B89*Jun!B92</f>
        <v>9167.6</v>
      </c>
      <c r="I89" s="185">
        <f>B89*Jul!B92</f>
        <v>8101.5999999999995</v>
      </c>
      <c r="J89" s="185">
        <f>B89*Aug!B92</f>
        <v>4903.5999999999995</v>
      </c>
      <c r="K89" s="185">
        <f>B89*Sep!B92</f>
        <v>8101.5999999999995</v>
      </c>
      <c r="L89" s="185">
        <f>Oct!B92*B89</f>
        <v>12152.4</v>
      </c>
      <c r="M89" s="185">
        <f>B89*Nov!B92</f>
        <v>5543.2</v>
      </c>
      <c r="N89" s="185">
        <f>B89*Dec!B92</f>
        <v>0</v>
      </c>
    </row>
    <row r="90" spans="1:14">
      <c r="A90" s="168" t="str">
        <f>Dec!A93</f>
        <v>NEW ZEALAND</v>
      </c>
      <c r="B90" s="293">
        <v>1927</v>
      </c>
      <c r="C90" s="294">
        <f>B90*Jan!B93</f>
        <v>385.40000000000003</v>
      </c>
      <c r="D90" s="295">
        <f>B90*Feb!B93</f>
        <v>192.70000000000002</v>
      </c>
      <c r="E90" s="294">
        <f>B90*Mar!B93</f>
        <v>578.1</v>
      </c>
      <c r="F90" s="294">
        <f>B90*Apr!B93</f>
        <v>770.80000000000007</v>
      </c>
      <c r="G90" s="185">
        <f>B90*May!B93</f>
        <v>963.5</v>
      </c>
      <c r="H90" s="185">
        <f>B90*Jun!B93</f>
        <v>770.80000000000007</v>
      </c>
      <c r="I90" s="185">
        <f>B90*Jul!B93</f>
        <v>770.80000000000007</v>
      </c>
      <c r="J90" s="185">
        <f>B90*Aug!B93</f>
        <v>578.1</v>
      </c>
      <c r="K90" s="185">
        <f>B90*Sep!B93</f>
        <v>963.5</v>
      </c>
      <c r="L90" s="185">
        <f>Oct!B93*B90</f>
        <v>1927</v>
      </c>
      <c r="M90" s="185">
        <f>B90*Nov!B93</f>
        <v>770.80000000000007</v>
      </c>
      <c r="N90" s="185">
        <f>B90*Dec!B93</f>
        <v>0</v>
      </c>
    </row>
    <row r="91" spans="1:14">
      <c r="A91" s="168" t="str">
        <f>Dec!A94</f>
        <v>OTHER</v>
      </c>
      <c r="B91" s="293">
        <v>1927</v>
      </c>
      <c r="C91" s="294">
        <f>B91*Jan!B94</f>
        <v>0</v>
      </c>
      <c r="D91" s="295">
        <f>B91*Feb!B94</f>
        <v>192.70000000000002</v>
      </c>
      <c r="E91" s="294">
        <f>B91*Mar!B94</f>
        <v>192.70000000000002</v>
      </c>
      <c r="F91" s="294">
        <f>B91*Apr!B94</f>
        <v>192.70000000000002</v>
      </c>
      <c r="G91" s="185">
        <f>B91*May!B94</f>
        <v>192.70000000000002</v>
      </c>
      <c r="H91" s="185">
        <f>B91*Jun!B94</f>
        <v>192.70000000000002</v>
      </c>
      <c r="I91" s="185">
        <f>B91*Jul!B94</f>
        <v>192.70000000000002</v>
      </c>
      <c r="J91" s="185">
        <f>B91*Aug!B94</f>
        <v>192.70000000000002</v>
      </c>
      <c r="K91" s="185">
        <f>B91*Sep!B94</f>
        <v>578.1</v>
      </c>
      <c r="L91" s="185">
        <f>Oct!B94*B91</f>
        <v>578.1</v>
      </c>
      <c r="M91" s="185">
        <f>B91*Nov!B94</f>
        <v>0</v>
      </c>
      <c r="N91" s="185">
        <f>B91*Dec!B94</f>
        <v>0</v>
      </c>
    </row>
    <row r="92" spans="1:14">
      <c r="A92" s="168"/>
      <c r="B92" s="293"/>
      <c r="C92" s="294"/>
      <c r="D92" s="295"/>
      <c r="E92" s="294"/>
      <c r="F92" s="294"/>
      <c r="G92" s="185"/>
      <c r="H92" s="185"/>
      <c r="I92" s="185"/>
      <c r="J92" s="185"/>
      <c r="K92" s="185"/>
      <c r="L92" s="185"/>
      <c r="M92" s="185"/>
      <c r="N92" s="185"/>
    </row>
    <row r="93" spans="1:14" ht="15.75" thickBot="1">
      <c r="A93" s="169" t="str">
        <f>Dec!A96</f>
        <v>NOT KNOWN</v>
      </c>
      <c r="B93" s="303">
        <v>1556</v>
      </c>
      <c r="C93" s="304">
        <f>B93*Jan!B96</f>
        <v>933.59999999999991</v>
      </c>
      <c r="D93" s="305">
        <f>B93*Feb!B96</f>
        <v>778</v>
      </c>
      <c r="E93" s="294">
        <f>B93*Mar!B96</f>
        <v>1089.1999999999998</v>
      </c>
      <c r="F93" s="294">
        <f>B93*Apr!B96</f>
        <v>1244.8000000000002</v>
      </c>
      <c r="G93" s="185">
        <f>B93*May!B96</f>
        <v>1244.8000000000002</v>
      </c>
      <c r="H93" s="185">
        <f>B93*Jun!B96</f>
        <v>1711.6000000000001</v>
      </c>
      <c r="I93" s="185">
        <f>B93*Jul!B96</f>
        <v>2178.3999999999996</v>
      </c>
      <c r="J93" s="185">
        <f>B93*Aug!B96</f>
        <v>1556</v>
      </c>
      <c r="K93" s="185">
        <f>B93*Sep!B96</f>
        <v>1244.8000000000002</v>
      </c>
      <c r="L93" s="185">
        <f>Oct!B96*B93</f>
        <v>1089.1999999999998</v>
      </c>
      <c r="M93" s="185">
        <f>B93*Nov!B96</f>
        <v>933.59999999999991</v>
      </c>
      <c r="N93" s="185">
        <f>B93*Dec!B96</f>
        <v>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6"/>
  <sheetViews>
    <sheetView zoomScaleNormal="100" workbookViewId="0">
      <selection activeCell="O27" sqref="O27"/>
    </sheetView>
  </sheetViews>
  <sheetFormatPr defaultColWidth="9" defaultRowHeight="12.75"/>
  <cols>
    <col min="1" max="1" width="25.140625" style="11" customWidth="1"/>
    <col min="2" max="4" width="7.28515625" style="11" bestFit="1" customWidth="1"/>
    <col min="5" max="5" width="7.85546875" style="11" bestFit="1" customWidth="1"/>
    <col min="6" max="6" width="6.5703125" style="11" bestFit="1" customWidth="1"/>
    <col min="7" max="7" width="9" style="11"/>
    <col min="8" max="8" width="13.7109375" style="11" bestFit="1" customWidth="1"/>
    <col min="9" max="16384" width="9" style="11"/>
  </cols>
  <sheetData>
    <row r="1" spans="1:10" ht="15">
      <c r="A1" s="8" t="s">
        <v>129</v>
      </c>
      <c r="B1" s="8"/>
      <c r="C1" s="62"/>
      <c r="D1" s="62"/>
      <c r="E1" s="62"/>
      <c r="F1" s="62"/>
      <c r="G1" s="62"/>
      <c r="I1" s="62"/>
      <c r="J1"/>
    </row>
    <row r="2" spans="1:10" ht="13.5" thickBot="1">
      <c r="A2" s="1" t="s">
        <v>237</v>
      </c>
      <c r="D2" s="3"/>
    </row>
    <row r="3" spans="1:10" ht="13.5" thickBot="1">
      <c r="A3" s="10"/>
      <c r="B3" s="328" t="s">
        <v>80</v>
      </c>
      <c r="C3" s="329"/>
      <c r="D3" s="330"/>
      <c r="E3" s="326" t="s">
        <v>0</v>
      </c>
      <c r="F3" s="327"/>
      <c r="G3" s="12"/>
      <c r="H3" s="12"/>
    </row>
    <row r="4" spans="1:10" ht="13.5" thickBot="1">
      <c r="A4" s="5"/>
      <c r="B4" s="69">
        <v>2017</v>
      </c>
      <c r="C4" s="82">
        <v>2016</v>
      </c>
      <c r="D4" s="81" t="s">
        <v>130</v>
      </c>
      <c r="E4" s="75" t="s">
        <v>214</v>
      </c>
      <c r="F4" s="20" t="s">
        <v>215</v>
      </c>
      <c r="G4" s="12"/>
      <c r="H4" s="12"/>
    </row>
    <row r="5" spans="1:10">
      <c r="A5" s="7" t="s">
        <v>1</v>
      </c>
      <c r="B5" s="194">
        <v>209.9</v>
      </c>
      <c r="C5" s="194">
        <v>164.82900000000001</v>
      </c>
      <c r="D5" s="195">
        <v>168.29300000000001</v>
      </c>
      <c r="E5" s="77">
        <f>B5/C5-1</f>
        <v>0.27344096002523832</v>
      </c>
      <c r="F5" s="80">
        <f>B5/D5-1</f>
        <v>0.24722953420522531</v>
      </c>
    </row>
    <row r="6" spans="1:10">
      <c r="A6" s="7" t="s">
        <v>2</v>
      </c>
      <c r="B6" s="194">
        <v>27.4</v>
      </c>
      <c r="C6" s="194">
        <v>16.437000000000001</v>
      </c>
      <c r="D6" s="196">
        <v>15.416</v>
      </c>
      <c r="E6" s="73">
        <f t="shared" ref="E6:E69" si="0">B6/C6-1</f>
        <v>0.6669708584291536</v>
      </c>
      <c r="F6" s="15">
        <f t="shared" ref="F6:F69" si="1">B6/D6-1</f>
        <v>0.77737415672029053</v>
      </c>
    </row>
    <row r="7" spans="1:10">
      <c r="A7" s="7"/>
      <c r="B7" s="194"/>
      <c r="C7" s="194"/>
      <c r="D7" s="196"/>
      <c r="E7" s="73"/>
      <c r="F7" s="15"/>
    </row>
    <row r="8" spans="1:10">
      <c r="A8" s="7" t="s">
        <v>3</v>
      </c>
      <c r="B8" s="194">
        <v>21.7</v>
      </c>
      <c r="C8" s="194">
        <v>12.128</v>
      </c>
      <c r="D8" s="196">
        <v>10.978</v>
      </c>
      <c r="E8" s="73">
        <f t="shared" si="0"/>
        <v>0.78924802110817938</v>
      </c>
      <c r="F8" s="15">
        <f t="shared" si="1"/>
        <v>0.97668063399526317</v>
      </c>
    </row>
    <row r="9" spans="1:10">
      <c r="A9" s="7" t="s">
        <v>4</v>
      </c>
      <c r="B9" s="194">
        <v>1.8</v>
      </c>
      <c r="C9" s="194">
        <v>1.679</v>
      </c>
      <c r="D9" s="196">
        <v>1.3959999999999999</v>
      </c>
      <c r="E9" s="73">
        <f t="shared" si="0"/>
        <v>7.2066706372841072E-2</v>
      </c>
      <c r="F9" s="15">
        <f t="shared" si="1"/>
        <v>0.28939828080229235</v>
      </c>
    </row>
    <row r="10" spans="1:10">
      <c r="A10" s="7" t="s">
        <v>5</v>
      </c>
      <c r="B10" s="194">
        <v>0.6</v>
      </c>
      <c r="C10" s="194">
        <v>0.151</v>
      </c>
      <c r="D10" s="196">
        <v>0.19600000000000001</v>
      </c>
      <c r="E10" s="73">
        <f t="shared" si="0"/>
        <v>2.9735099337748343</v>
      </c>
      <c r="F10" s="15">
        <f t="shared" si="1"/>
        <v>2.0612244897959182</v>
      </c>
    </row>
    <row r="11" spans="1:10">
      <c r="A11" s="7" t="s">
        <v>6</v>
      </c>
      <c r="B11" s="194">
        <v>2.4</v>
      </c>
      <c r="C11" s="194">
        <v>1.034</v>
      </c>
      <c r="D11" s="196">
        <v>1.2</v>
      </c>
      <c r="E11" s="73">
        <f t="shared" si="0"/>
        <v>1.3210831721470018</v>
      </c>
      <c r="F11" s="15">
        <f t="shared" si="1"/>
        <v>1</v>
      </c>
    </row>
    <row r="12" spans="1:10">
      <c r="A12" s="7" t="s">
        <v>7</v>
      </c>
      <c r="B12" s="194">
        <v>0.4</v>
      </c>
      <c r="C12" s="194">
        <v>0.219</v>
      </c>
      <c r="D12" s="196">
        <v>0.20399999999999999</v>
      </c>
      <c r="E12" s="73">
        <f t="shared" si="0"/>
        <v>0.8264840182648403</v>
      </c>
      <c r="F12" s="15">
        <f t="shared" si="1"/>
        <v>0.96078431372549034</v>
      </c>
      <c r="I12" s="13"/>
    </row>
    <row r="13" spans="1:10" ht="12" customHeight="1">
      <c r="A13" s="7" t="s">
        <v>8</v>
      </c>
      <c r="B13" s="194">
        <v>9.1999999999999993</v>
      </c>
      <c r="C13" s="194">
        <v>3.06</v>
      </c>
      <c r="D13" s="196">
        <v>2.1309999999999998</v>
      </c>
      <c r="E13" s="73">
        <f t="shared" si="0"/>
        <v>2.0065359477124178</v>
      </c>
      <c r="F13" s="15">
        <f t="shared" si="1"/>
        <v>3.3172219615204135</v>
      </c>
    </row>
    <row r="14" spans="1:10">
      <c r="A14" s="7" t="s">
        <v>9</v>
      </c>
      <c r="B14" s="194">
        <v>1.3</v>
      </c>
      <c r="C14" s="194">
        <v>0.71599999999999997</v>
      </c>
      <c r="D14" s="196">
        <v>1.2210000000000001</v>
      </c>
      <c r="E14" s="73">
        <f t="shared" si="0"/>
        <v>0.8156424581005588</v>
      </c>
      <c r="F14" s="15">
        <f t="shared" si="1"/>
        <v>6.4701064701064626E-2</v>
      </c>
    </row>
    <row r="15" spans="1:10">
      <c r="A15" s="7" t="s">
        <v>10</v>
      </c>
      <c r="B15" s="194">
        <v>0.9</v>
      </c>
      <c r="C15" s="194">
        <v>0.7</v>
      </c>
      <c r="D15" s="196">
        <v>0.29199999999999998</v>
      </c>
      <c r="E15" s="73">
        <f t="shared" si="0"/>
        <v>0.28571428571428581</v>
      </c>
      <c r="F15" s="15">
        <f t="shared" si="1"/>
        <v>2.0821917808219181</v>
      </c>
    </row>
    <row r="16" spans="1:10">
      <c r="A16" s="7" t="s">
        <v>11</v>
      </c>
      <c r="B16" s="194">
        <v>4</v>
      </c>
      <c r="C16" s="194">
        <v>3.2919999999999998</v>
      </c>
      <c r="D16" s="196">
        <v>3.294</v>
      </c>
      <c r="E16" s="73">
        <f t="shared" si="0"/>
        <v>0.21506682867557725</v>
      </c>
      <c r="F16" s="15">
        <f t="shared" si="1"/>
        <v>0.21432908318154209</v>
      </c>
    </row>
    <row r="17" spans="1:6">
      <c r="A17" s="7" t="s">
        <v>12</v>
      </c>
      <c r="B17" s="194">
        <v>0.5</v>
      </c>
      <c r="C17" s="194">
        <v>0.64300000000000002</v>
      </c>
      <c r="D17" s="196">
        <v>0.48399999999999999</v>
      </c>
      <c r="E17" s="73">
        <f t="shared" si="0"/>
        <v>-0.22239502332814931</v>
      </c>
      <c r="F17" s="15">
        <f t="shared" si="1"/>
        <v>3.3057851239669533E-2</v>
      </c>
    </row>
    <row r="18" spans="1:6">
      <c r="A18" s="7" t="s">
        <v>13</v>
      </c>
      <c r="B18" s="194">
        <v>0.1</v>
      </c>
      <c r="C18" s="194">
        <v>0.123</v>
      </c>
      <c r="D18" s="196">
        <v>0.126</v>
      </c>
      <c r="E18" s="73">
        <f t="shared" si="0"/>
        <v>-0.18699186991869909</v>
      </c>
      <c r="F18" s="15">
        <f t="shared" si="1"/>
        <v>-0.20634920634920628</v>
      </c>
    </row>
    <row r="19" spans="1:6">
      <c r="A19" s="7" t="s">
        <v>14</v>
      </c>
      <c r="B19" s="194">
        <v>0.5</v>
      </c>
      <c r="C19" s="194">
        <v>0.51100000000000001</v>
      </c>
      <c r="D19" s="196">
        <v>0.434</v>
      </c>
      <c r="E19" s="73">
        <f t="shared" si="0"/>
        <v>-2.1526418786692814E-2</v>
      </c>
      <c r="F19" s="15">
        <f t="shared" si="1"/>
        <v>0.15207373271889413</v>
      </c>
    </row>
    <row r="20" spans="1:6">
      <c r="A20" s="7"/>
      <c r="B20" s="194"/>
      <c r="C20" s="194"/>
      <c r="D20" s="197"/>
      <c r="E20" s="73"/>
      <c r="F20" s="15"/>
    </row>
    <row r="21" spans="1:6">
      <c r="A21" s="7" t="s">
        <v>15</v>
      </c>
      <c r="B21" s="194">
        <v>5.7</v>
      </c>
      <c r="C21" s="194">
        <v>4.3090000000000002</v>
      </c>
      <c r="D21" s="196">
        <v>4.4379999999999997</v>
      </c>
      <c r="E21" s="73">
        <f t="shared" si="0"/>
        <v>0.32281271756788121</v>
      </c>
      <c r="F21" s="15">
        <f t="shared" si="1"/>
        <v>0.28436232537178929</v>
      </c>
    </row>
    <row r="22" spans="1:6">
      <c r="A22" s="7" t="s">
        <v>16</v>
      </c>
      <c r="B22" s="194">
        <v>0.4</v>
      </c>
      <c r="C22" s="194">
        <v>0.311</v>
      </c>
      <c r="D22" s="196">
        <v>0.34899999999999998</v>
      </c>
      <c r="E22" s="73">
        <f t="shared" si="0"/>
        <v>0.2861736334405145</v>
      </c>
      <c r="F22" s="15">
        <f t="shared" si="1"/>
        <v>0.14613180515759328</v>
      </c>
    </row>
    <row r="23" spans="1:6">
      <c r="A23" s="7" t="s">
        <v>17</v>
      </c>
      <c r="B23" s="194">
        <v>3</v>
      </c>
      <c r="C23" s="194">
        <v>2.181</v>
      </c>
      <c r="D23" s="196">
        <v>1.7809999999999999</v>
      </c>
      <c r="E23" s="73">
        <f t="shared" si="0"/>
        <v>0.37551581843191184</v>
      </c>
      <c r="F23" s="15">
        <f t="shared" si="1"/>
        <v>0.68444693992139261</v>
      </c>
    </row>
    <row r="24" spans="1:6">
      <c r="A24" s="7" t="s">
        <v>18</v>
      </c>
      <c r="B24" s="194">
        <v>1.4</v>
      </c>
      <c r="C24" s="194">
        <v>1.276</v>
      </c>
      <c r="D24" s="196">
        <v>1.4630000000000001</v>
      </c>
      <c r="E24" s="73">
        <f t="shared" si="0"/>
        <v>9.7178683385579889E-2</v>
      </c>
      <c r="F24" s="15">
        <f t="shared" si="1"/>
        <v>-4.3062200956937913E-2</v>
      </c>
    </row>
    <row r="25" spans="1:6">
      <c r="A25" s="7" t="s">
        <v>19</v>
      </c>
      <c r="B25" s="194">
        <v>0.9</v>
      </c>
      <c r="C25" s="194">
        <v>0.54100000000000004</v>
      </c>
      <c r="D25" s="196">
        <v>0.84499999999999997</v>
      </c>
      <c r="E25" s="73">
        <f t="shared" si="0"/>
        <v>0.66358595194085024</v>
      </c>
      <c r="F25" s="15">
        <f t="shared" si="1"/>
        <v>6.5088757396449815E-2</v>
      </c>
    </row>
    <row r="26" spans="1:6">
      <c r="A26" s="7"/>
      <c r="B26" s="194"/>
      <c r="C26" s="194"/>
      <c r="D26" s="196"/>
      <c r="E26" s="73"/>
      <c r="F26" s="15"/>
    </row>
    <row r="27" spans="1:6">
      <c r="A27" s="7" t="s">
        <v>20</v>
      </c>
      <c r="B27" s="194">
        <v>2.9</v>
      </c>
      <c r="C27" s="194">
        <v>2.5870000000000002</v>
      </c>
      <c r="D27" s="196">
        <v>2.3889999999999998</v>
      </c>
      <c r="E27" s="73">
        <f t="shared" si="0"/>
        <v>0.12098956320061838</v>
      </c>
      <c r="F27" s="15">
        <f t="shared" si="1"/>
        <v>0.21389702804520727</v>
      </c>
    </row>
    <row r="28" spans="1:6">
      <c r="A28" s="7" t="s">
        <v>21</v>
      </c>
      <c r="B28" s="194">
        <v>1</v>
      </c>
      <c r="C28" s="194">
        <v>0.96499999999999997</v>
      </c>
      <c r="D28" s="196">
        <v>0.92800000000000005</v>
      </c>
      <c r="E28" s="73">
        <f t="shared" si="0"/>
        <v>3.62694300518136E-2</v>
      </c>
      <c r="F28" s="15">
        <f t="shared" si="1"/>
        <v>7.7586206896551602E-2</v>
      </c>
    </row>
    <row r="29" spans="1:6">
      <c r="A29" s="7" t="s">
        <v>22</v>
      </c>
      <c r="B29" s="194">
        <v>0.2</v>
      </c>
      <c r="C29" s="194">
        <v>0.23799999999999999</v>
      </c>
      <c r="D29" s="196">
        <v>0.14199999999999999</v>
      </c>
      <c r="E29" s="73">
        <f t="shared" si="0"/>
        <v>-0.15966386554621836</v>
      </c>
      <c r="F29" s="15">
        <f t="shared" si="1"/>
        <v>0.40845070422535223</v>
      </c>
    </row>
    <row r="30" spans="1:6">
      <c r="A30" s="7" t="s">
        <v>23</v>
      </c>
      <c r="B30" s="194">
        <v>0.1</v>
      </c>
      <c r="C30" s="194">
        <v>0.19400000000000001</v>
      </c>
      <c r="D30" s="196">
        <v>0.23</v>
      </c>
      <c r="E30" s="73">
        <f t="shared" si="0"/>
        <v>-0.48453608247422675</v>
      </c>
      <c r="F30" s="15">
        <f t="shared" si="1"/>
        <v>-0.56521739130434789</v>
      </c>
    </row>
    <row r="31" spans="1:6">
      <c r="A31" s="6" t="s">
        <v>24</v>
      </c>
      <c r="B31" s="194">
        <v>0.1</v>
      </c>
      <c r="C31" s="194">
        <v>0.11899999999999999</v>
      </c>
      <c r="D31" s="196">
        <v>0.23899999999999999</v>
      </c>
      <c r="E31" s="73">
        <f t="shared" si="0"/>
        <v>-0.15966386554621836</v>
      </c>
      <c r="F31" s="15">
        <f t="shared" si="1"/>
        <v>-0.58158995815899583</v>
      </c>
    </row>
    <row r="32" spans="1:6">
      <c r="A32" s="6" t="s">
        <v>25</v>
      </c>
      <c r="B32" s="194">
        <v>0.1</v>
      </c>
      <c r="C32" s="194">
        <v>0.124</v>
      </c>
      <c r="D32" s="196">
        <v>9.7000000000000003E-2</v>
      </c>
      <c r="E32" s="73">
        <f t="shared" si="0"/>
        <v>-0.19354838709677413</v>
      </c>
      <c r="F32" s="15">
        <f t="shared" si="1"/>
        <v>3.0927835051546504E-2</v>
      </c>
    </row>
    <row r="33" spans="1:6">
      <c r="A33" s="7" t="s">
        <v>19</v>
      </c>
      <c r="B33" s="194">
        <v>1.3</v>
      </c>
      <c r="C33" s="194">
        <v>0.94699999999999995</v>
      </c>
      <c r="D33" s="196">
        <v>0.753</v>
      </c>
      <c r="E33" s="73">
        <f t="shared" si="0"/>
        <v>0.37275607180570236</v>
      </c>
      <c r="F33" s="15">
        <f t="shared" si="1"/>
        <v>0.72642762284196549</v>
      </c>
    </row>
    <row r="34" spans="1:6">
      <c r="A34" s="2"/>
      <c r="B34" s="194"/>
      <c r="C34" s="194"/>
      <c r="D34" s="196"/>
      <c r="E34" s="73"/>
      <c r="F34" s="15"/>
    </row>
    <row r="35" spans="1:6">
      <c r="A35" s="7" t="s">
        <v>26</v>
      </c>
      <c r="B35" s="194">
        <v>108.1</v>
      </c>
      <c r="C35" s="194">
        <v>85.432000000000002</v>
      </c>
      <c r="D35" s="196">
        <v>92.25</v>
      </c>
      <c r="E35" s="73">
        <f t="shared" si="0"/>
        <v>0.26533383275587585</v>
      </c>
      <c r="F35" s="15">
        <f t="shared" si="1"/>
        <v>0.17181571815718155</v>
      </c>
    </row>
    <row r="36" spans="1:6">
      <c r="A36" s="7" t="s">
        <v>27</v>
      </c>
      <c r="B36" s="194">
        <v>3.8</v>
      </c>
      <c r="C36" s="194">
        <v>3.6179999999999999</v>
      </c>
      <c r="D36" s="196">
        <v>2.915</v>
      </c>
      <c r="E36" s="73">
        <f t="shared" si="0"/>
        <v>5.0304035378662126E-2</v>
      </c>
      <c r="F36" s="15">
        <f t="shared" si="1"/>
        <v>0.3036020583190393</v>
      </c>
    </row>
    <row r="37" spans="1:6">
      <c r="A37" s="7" t="s">
        <v>28</v>
      </c>
      <c r="B37" s="194">
        <v>1.1000000000000001</v>
      </c>
      <c r="C37" s="194">
        <v>0.92300000000000004</v>
      </c>
      <c r="D37" s="196">
        <v>0.41599999999999998</v>
      </c>
      <c r="E37" s="73">
        <f t="shared" si="0"/>
        <v>0.1917659804983749</v>
      </c>
      <c r="F37" s="15">
        <f t="shared" si="1"/>
        <v>1.6442307692307696</v>
      </c>
    </row>
    <row r="38" spans="1:6">
      <c r="A38" s="7" t="s">
        <v>29</v>
      </c>
      <c r="B38" s="194">
        <v>1.1000000000000001</v>
      </c>
      <c r="C38" s="194">
        <v>0.999</v>
      </c>
      <c r="D38" s="196">
        <v>1.079</v>
      </c>
      <c r="E38" s="73">
        <f t="shared" si="0"/>
        <v>0.10110110110110115</v>
      </c>
      <c r="F38" s="15">
        <f t="shared" si="1"/>
        <v>1.9462465245597915E-2</v>
      </c>
    </row>
    <row r="39" spans="1:6">
      <c r="A39" s="7" t="s">
        <v>30</v>
      </c>
      <c r="B39" s="194">
        <v>0.5</v>
      </c>
      <c r="C39" s="194">
        <v>0.41899999999999998</v>
      </c>
      <c r="D39" s="196">
        <v>0.5</v>
      </c>
      <c r="E39" s="73">
        <f t="shared" si="0"/>
        <v>0.19331742243436767</v>
      </c>
      <c r="F39" s="15">
        <f t="shared" si="1"/>
        <v>0</v>
      </c>
    </row>
    <row r="40" spans="1:6">
      <c r="A40" s="7" t="s">
        <v>31</v>
      </c>
      <c r="B40" s="194">
        <v>1.1000000000000001</v>
      </c>
      <c r="C40" s="194">
        <v>1.2470000000000001</v>
      </c>
      <c r="D40" s="196">
        <v>0.89100000000000001</v>
      </c>
      <c r="E40" s="73">
        <f t="shared" si="0"/>
        <v>-0.11788291900561343</v>
      </c>
      <c r="F40" s="15">
        <f t="shared" si="1"/>
        <v>0.23456790123456805</v>
      </c>
    </row>
    <row r="41" spans="1:6">
      <c r="A41" s="7" t="s">
        <v>32</v>
      </c>
      <c r="B41" s="194">
        <v>9.6999999999999993</v>
      </c>
      <c r="C41" s="194">
        <v>8.5850000000000009</v>
      </c>
      <c r="D41" s="196">
        <v>8.7129999999999992</v>
      </c>
      <c r="E41" s="73">
        <f t="shared" si="0"/>
        <v>0.12987769365171786</v>
      </c>
      <c r="F41" s="15">
        <f t="shared" si="1"/>
        <v>0.11327900837828531</v>
      </c>
    </row>
    <row r="42" spans="1:6">
      <c r="A42" s="7" t="s">
        <v>33</v>
      </c>
      <c r="B42" s="194">
        <v>0.6</v>
      </c>
      <c r="C42" s="194">
        <v>0.53300000000000003</v>
      </c>
      <c r="D42" s="196">
        <v>0.46100000000000002</v>
      </c>
      <c r="E42" s="73">
        <f t="shared" si="0"/>
        <v>0.12570356472795496</v>
      </c>
      <c r="F42" s="15">
        <f t="shared" si="1"/>
        <v>0.30151843817787416</v>
      </c>
    </row>
    <row r="43" spans="1:6">
      <c r="A43" s="7" t="s">
        <v>34</v>
      </c>
      <c r="B43" s="194">
        <v>2.9</v>
      </c>
      <c r="C43" s="194">
        <v>2.351</v>
      </c>
      <c r="D43" s="196">
        <v>2.5670000000000002</v>
      </c>
      <c r="E43" s="73">
        <f t="shared" si="0"/>
        <v>0.23351765206295183</v>
      </c>
      <c r="F43" s="15">
        <f t="shared" si="1"/>
        <v>0.12972341254382536</v>
      </c>
    </row>
    <row r="44" spans="1:6">
      <c r="A44" s="7" t="s">
        <v>35</v>
      </c>
      <c r="B44" s="194">
        <v>1.8</v>
      </c>
      <c r="C44" s="194">
        <v>1.6839999999999999</v>
      </c>
      <c r="D44" s="196">
        <v>1.5940000000000001</v>
      </c>
      <c r="E44" s="73">
        <f t="shared" si="0"/>
        <v>6.8883610451306421E-2</v>
      </c>
      <c r="F44" s="15">
        <f t="shared" si="1"/>
        <v>0.12923462986198242</v>
      </c>
    </row>
    <row r="45" spans="1:6">
      <c r="A45" s="6" t="s">
        <v>36</v>
      </c>
      <c r="B45" s="194">
        <v>12.7</v>
      </c>
      <c r="C45" s="194">
        <v>11.728</v>
      </c>
      <c r="D45" s="196">
        <v>10.882</v>
      </c>
      <c r="E45" s="73">
        <f t="shared" si="0"/>
        <v>8.2878581173260635E-2</v>
      </c>
      <c r="F45" s="15">
        <f t="shared" si="1"/>
        <v>0.16706487777981982</v>
      </c>
    </row>
    <row r="46" spans="1:6">
      <c r="A46" s="6" t="s">
        <v>37</v>
      </c>
      <c r="B46" s="194">
        <v>6.4</v>
      </c>
      <c r="C46" s="194">
        <v>4.359</v>
      </c>
      <c r="D46" s="196">
        <v>6.1390000000000002</v>
      </c>
      <c r="E46" s="73">
        <f t="shared" si="0"/>
        <v>0.46822665749025005</v>
      </c>
      <c r="F46" s="15">
        <f t="shared" si="1"/>
        <v>4.2515067600586542E-2</v>
      </c>
    </row>
    <row r="47" spans="1:6">
      <c r="A47" s="7" t="s">
        <v>38</v>
      </c>
      <c r="B47" s="194">
        <v>2.2999999999999998</v>
      </c>
      <c r="C47" s="194">
        <v>1.9590000000000001</v>
      </c>
      <c r="D47" s="196">
        <v>1.8009999999999999</v>
      </c>
      <c r="E47" s="73">
        <f t="shared" si="0"/>
        <v>0.1740684022460437</v>
      </c>
      <c r="F47" s="15">
        <f t="shared" si="1"/>
        <v>0.27706829539144917</v>
      </c>
    </row>
    <row r="48" spans="1:6">
      <c r="A48" s="7" t="s">
        <v>39</v>
      </c>
      <c r="B48" s="194">
        <v>9.3000000000000007</v>
      </c>
      <c r="C48" s="194">
        <v>7.2530000000000001</v>
      </c>
      <c r="D48" s="196">
        <v>7</v>
      </c>
      <c r="E48" s="73">
        <f t="shared" si="0"/>
        <v>0.28222804356817877</v>
      </c>
      <c r="F48" s="15">
        <f t="shared" si="1"/>
        <v>0.32857142857142874</v>
      </c>
    </row>
    <row r="49" spans="1:9">
      <c r="A49" s="7" t="s">
        <v>40</v>
      </c>
      <c r="B49" s="194">
        <v>1.4</v>
      </c>
      <c r="C49" s="194">
        <v>1.321</v>
      </c>
      <c r="D49" s="196">
        <v>1.258</v>
      </c>
      <c r="E49" s="73">
        <f t="shared" si="0"/>
        <v>5.9803179409538165E-2</v>
      </c>
      <c r="F49" s="15">
        <f t="shared" si="1"/>
        <v>0.11287758346581866</v>
      </c>
    </row>
    <row r="50" spans="1:9">
      <c r="A50" s="6" t="s">
        <v>41</v>
      </c>
      <c r="B50" s="194">
        <v>2.8</v>
      </c>
      <c r="C50" s="194">
        <v>2.4580000000000002</v>
      </c>
      <c r="D50" s="196">
        <v>2.5230000000000001</v>
      </c>
      <c r="E50" s="73">
        <f t="shared" si="0"/>
        <v>0.1391375101708705</v>
      </c>
      <c r="F50" s="15">
        <f t="shared" si="1"/>
        <v>0.10978993261989678</v>
      </c>
    </row>
    <row r="51" spans="1:9">
      <c r="A51" s="7" t="s">
        <v>42</v>
      </c>
      <c r="B51" s="194">
        <v>0.6</v>
      </c>
      <c r="C51" s="194">
        <v>0.55200000000000005</v>
      </c>
      <c r="D51" s="196">
        <v>0.39400000000000002</v>
      </c>
      <c r="E51" s="73">
        <f t="shared" si="0"/>
        <v>8.6956521739130377E-2</v>
      </c>
      <c r="F51" s="15">
        <f t="shared" si="1"/>
        <v>0.52284263959390853</v>
      </c>
    </row>
    <row r="52" spans="1:9">
      <c r="A52" s="7"/>
      <c r="B52" s="194"/>
      <c r="C52" s="194"/>
      <c r="D52" s="196"/>
      <c r="E52" s="73"/>
      <c r="F52" s="15"/>
    </row>
    <row r="53" spans="1:9">
      <c r="A53" s="7" t="s">
        <v>43</v>
      </c>
      <c r="B53" s="194">
        <v>31.5</v>
      </c>
      <c r="C53" s="194">
        <v>25.41</v>
      </c>
      <c r="D53" s="196">
        <v>32.478000000000002</v>
      </c>
      <c r="E53" s="73">
        <f t="shared" si="0"/>
        <v>0.2396694214876034</v>
      </c>
      <c r="F53" s="15">
        <f t="shared" si="1"/>
        <v>-3.0112691668206182E-2</v>
      </c>
    </row>
    <row r="54" spans="1:9">
      <c r="A54" s="7" t="s">
        <v>44</v>
      </c>
      <c r="B54" s="194">
        <v>19.600000000000001</v>
      </c>
      <c r="C54" s="194">
        <v>15.961</v>
      </c>
      <c r="D54" s="196">
        <v>22.884</v>
      </c>
      <c r="E54" s="73">
        <f t="shared" si="0"/>
        <v>0.22799323350667255</v>
      </c>
      <c r="F54" s="15">
        <f t="shared" si="1"/>
        <v>-0.1435063800034958</v>
      </c>
    </row>
    <row r="55" spans="1:9">
      <c r="A55" s="7" t="s">
        <v>45</v>
      </c>
      <c r="B55" s="194">
        <v>8.9</v>
      </c>
      <c r="C55" s="194">
        <v>7.2169999999999996</v>
      </c>
      <c r="D55" s="196">
        <v>7.367</v>
      </c>
      <c r="E55" s="73">
        <f t="shared" si="0"/>
        <v>0.23319939032839132</v>
      </c>
      <c r="F55" s="15">
        <f t="shared" si="1"/>
        <v>0.20809013166825041</v>
      </c>
    </row>
    <row r="56" spans="1:9">
      <c r="A56" s="7" t="s">
        <v>46</v>
      </c>
      <c r="B56" s="194">
        <v>1.3</v>
      </c>
      <c r="C56" s="194">
        <v>1.1519999999999999</v>
      </c>
      <c r="D56" s="196">
        <v>0.79500000000000004</v>
      </c>
      <c r="E56" s="73">
        <f t="shared" si="0"/>
        <v>0.12847222222222232</v>
      </c>
      <c r="F56" s="15">
        <f t="shared" si="1"/>
        <v>0.6352201257861636</v>
      </c>
      <c r="I56" s="14"/>
    </row>
    <row r="57" spans="1:9">
      <c r="A57" s="7" t="s">
        <v>47</v>
      </c>
      <c r="B57" s="194">
        <v>0.6</v>
      </c>
      <c r="C57" s="194">
        <v>0.38500000000000001</v>
      </c>
      <c r="D57" s="196">
        <v>0.497</v>
      </c>
      <c r="E57" s="73">
        <f t="shared" si="0"/>
        <v>0.55844155844155829</v>
      </c>
      <c r="F57" s="15">
        <f t="shared" si="1"/>
        <v>0.20724346076458744</v>
      </c>
      <c r="I57" s="4"/>
    </row>
    <row r="58" spans="1:9">
      <c r="A58" s="7" t="s">
        <v>48</v>
      </c>
      <c r="B58" s="194">
        <v>0.2</v>
      </c>
      <c r="C58" s="194">
        <v>0.2</v>
      </c>
      <c r="D58" s="196">
        <v>0.20100000000000001</v>
      </c>
      <c r="E58" s="73">
        <f t="shared" si="0"/>
        <v>0</v>
      </c>
      <c r="F58" s="15">
        <f t="shared" si="1"/>
        <v>-4.9751243781094301E-3</v>
      </c>
      <c r="I58" s="4"/>
    </row>
    <row r="59" spans="1:9">
      <c r="A59" s="7" t="s">
        <v>81</v>
      </c>
      <c r="B59" s="194">
        <v>0.4</v>
      </c>
      <c r="C59" s="194">
        <v>0.442</v>
      </c>
      <c r="D59" s="196">
        <v>0.64400000000000002</v>
      </c>
      <c r="E59" s="73">
        <f t="shared" si="0"/>
        <v>-9.5022624434389136E-2</v>
      </c>
      <c r="F59" s="15">
        <f t="shared" si="1"/>
        <v>-0.37888198757763969</v>
      </c>
      <c r="I59" s="14"/>
    </row>
    <row r="60" spans="1:9">
      <c r="A60" s="7" t="s">
        <v>49</v>
      </c>
      <c r="B60" s="194">
        <v>0.5</v>
      </c>
      <c r="C60" s="194">
        <v>5.2999999999999999E-2</v>
      </c>
      <c r="D60" s="196">
        <v>0.09</v>
      </c>
      <c r="E60" s="73">
        <f t="shared" si="0"/>
        <v>8.433962264150944</v>
      </c>
      <c r="F60" s="15">
        <f t="shared" si="1"/>
        <v>4.5555555555555554</v>
      </c>
    </row>
    <row r="61" spans="1:9">
      <c r="A61" s="2"/>
      <c r="B61" s="194"/>
      <c r="C61" s="194"/>
      <c r="D61" s="196"/>
      <c r="E61" s="73"/>
      <c r="F61" s="15"/>
    </row>
    <row r="62" spans="1:9">
      <c r="A62" s="7" t="s">
        <v>50</v>
      </c>
      <c r="B62" s="194">
        <v>1.4</v>
      </c>
      <c r="C62" s="194">
        <v>1.05</v>
      </c>
      <c r="D62" s="196">
        <v>0.8</v>
      </c>
      <c r="E62" s="73">
        <f t="shared" si="0"/>
        <v>0.33333333333333326</v>
      </c>
      <c r="F62" s="15">
        <f t="shared" si="1"/>
        <v>0.74999999999999978</v>
      </c>
    </row>
    <row r="63" spans="1:9">
      <c r="A63" s="7" t="s">
        <v>51</v>
      </c>
      <c r="B63" s="194">
        <v>0.2</v>
      </c>
      <c r="C63" s="194">
        <v>0.16</v>
      </c>
      <c r="D63" s="196">
        <v>0.11899999999999999</v>
      </c>
      <c r="E63" s="73">
        <f t="shared" si="0"/>
        <v>0.25</v>
      </c>
      <c r="F63" s="15">
        <f t="shared" si="1"/>
        <v>0.68067226890756327</v>
      </c>
    </row>
    <row r="64" spans="1:9">
      <c r="A64" s="7" t="s">
        <v>52</v>
      </c>
      <c r="B64" s="194">
        <v>1.6</v>
      </c>
      <c r="C64" s="194">
        <v>1.2749999999999999</v>
      </c>
      <c r="D64" s="196">
        <v>0.55200000000000005</v>
      </c>
      <c r="E64" s="73">
        <f t="shared" si="0"/>
        <v>0.25490196078431393</v>
      </c>
      <c r="F64" s="15">
        <f t="shared" si="1"/>
        <v>1.8985507246376812</v>
      </c>
    </row>
    <row r="65" spans="1:6">
      <c r="A65" s="7" t="s">
        <v>53</v>
      </c>
      <c r="B65" s="194">
        <v>0.8</v>
      </c>
      <c r="C65" s="194">
        <v>0.374</v>
      </c>
      <c r="D65" s="196">
        <v>0.28399999999999997</v>
      </c>
      <c r="E65" s="73">
        <f t="shared" si="0"/>
        <v>1.1390374331550803</v>
      </c>
      <c r="F65" s="15">
        <f t="shared" si="1"/>
        <v>1.8169014084507045</v>
      </c>
    </row>
    <row r="66" spans="1:6">
      <c r="A66" s="2"/>
      <c r="B66" s="194"/>
      <c r="C66" s="194"/>
      <c r="D66" s="196"/>
      <c r="E66" s="73"/>
      <c r="F66" s="15"/>
    </row>
    <row r="67" spans="1:6">
      <c r="A67" s="7" t="s">
        <v>54</v>
      </c>
      <c r="B67" s="194">
        <v>6.9</v>
      </c>
      <c r="C67" s="194">
        <v>3.4540000000000002</v>
      </c>
      <c r="D67" s="196">
        <v>4.3979999999999997</v>
      </c>
      <c r="E67" s="73">
        <f t="shared" si="0"/>
        <v>0.99768384481760286</v>
      </c>
      <c r="F67" s="15">
        <f t="shared" si="1"/>
        <v>0.56889495225102338</v>
      </c>
    </row>
    <row r="68" spans="1:6">
      <c r="A68" s="7" t="s">
        <v>55</v>
      </c>
      <c r="B68" s="194">
        <v>1.4</v>
      </c>
      <c r="C68" s="194">
        <v>1.0349999999999999</v>
      </c>
      <c r="D68" s="196">
        <v>0.95299999999999996</v>
      </c>
      <c r="E68" s="73">
        <f t="shared" si="0"/>
        <v>0.35265700483091789</v>
      </c>
      <c r="F68" s="15">
        <f t="shared" si="1"/>
        <v>0.46904512067156356</v>
      </c>
    </row>
    <row r="69" spans="1:6">
      <c r="A69" s="7" t="s">
        <v>56</v>
      </c>
      <c r="B69" s="194">
        <v>0.3</v>
      </c>
      <c r="C69" s="194">
        <v>0.22900000000000001</v>
      </c>
      <c r="D69" s="196">
        <v>0.19400000000000001</v>
      </c>
      <c r="E69" s="73">
        <f t="shared" si="0"/>
        <v>0.31004366812227069</v>
      </c>
      <c r="F69" s="15">
        <f t="shared" si="1"/>
        <v>0.54639175257731942</v>
      </c>
    </row>
    <row r="70" spans="1:6">
      <c r="A70" s="7" t="s">
        <v>58</v>
      </c>
      <c r="B70" s="194">
        <v>0.1</v>
      </c>
      <c r="C70" s="194">
        <v>0.11700000000000001</v>
      </c>
      <c r="D70" s="196">
        <v>9.7000000000000003E-2</v>
      </c>
      <c r="E70" s="73">
        <f t="shared" ref="E70:E96" si="2">B70/C70-1</f>
        <v>-0.14529914529914534</v>
      </c>
      <c r="F70" s="15">
        <f t="shared" ref="F70:F96" si="3">B70/D70-1</f>
        <v>3.0927835051546504E-2</v>
      </c>
    </row>
    <row r="71" spans="1:6">
      <c r="A71" s="7" t="s">
        <v>57</v>
      </c>
      <c r="B71" s="194">
        <v>0.5</v>
      </c>
      <c r="C71" s="194">
        <v>0.20200000000000001</v>
      </c>
      <c r="D71" s="196">
        <v>0.45200000000000001</v>
      </c>
      <c r="E71" s="73">
        <f t="shared" si="2"/>
        <v>1.4752475247524752</v>
      </c>
      <c r="F71" s="15">
        <f t="shared" si="3"/>
        <v>0.10619469026548667</v>
      </c>
    </row>
    <row r="72" spans="1:6" ht="15">
      <c r="A72" s="7" t="s">
        <v>59</v>
      </c>
      <c r="B72" s="198">
        <v>4.5</v>
      </c>
      <c r="C72" s="194">
        <v>3.0179999999999998</v>
      </c>
      <c r="D72" s="196">
        <v>3.1389999999999998</v>
      </c>
      <c r="E72" s="73">
        <f t="shared" si="2"/>
        <v>0.49105367793240573</v>
      </c>
      <c r="F72" s="15">
        <f t="shared" si="3"/>
        <v>0.43357757247531081</v>
      </c>
    </row>
    <row r="73" spans="1:6">
      <c r="A73" s="7" t="s">
        <v>60</v>
      </c>
      <c r="B73" s="194">
        <v>0.6</v>
      </c>
      <c r="C73" s="194">
        <v>0.40899999999999997</v>
      </c>
      <c r="D73" s="196">
        <v>0.44700000000000001</v>
      </c>
      <c r="E73" s="73">
        <f t="shared" si="2"/>
        <v>0.46699266503667491</v>
      </c>
      <c r="F73" s="15">
        <f t="shared" si="3"/>
        <v>0.34228187919463071</v>
      </c>
    </row>
    <row r="74" spans="1:6">
      <c r="A74" s="7" t="s">
        <v>61</v>
      </c>
      <c r="B74" s="194">
        <v>1</v>
      </c>
      <c r="C74" s="194">
        <v>0.70299999999999996</v>
      </c>
      <c r="D74" s="196">
        <v>0.57599999999999996</v>
      </c>
      <c r="E74" s="73">
        <f t="shared" si="2"/>
        <v>0.42247510668563315</v>
      </c>
      <c r="F74" s="15">
        <f t="shared" si="3"/>
        <v>0.73611111111111116</v>
      </c>
    </row>
    <row r="75" spans="1:6">
      <c r="A75" s="7" t="s">
        <v>62</v>
      </c>
      <c r="B75" s="194">
        <v>0.8</v>
      </c>
      <c r="C75" s="194">
        <v>0.27600000000000002</v>
      </c>
      <c r="D75" s="196">
        <v>0.32500000000000001</v>
      </c>
      <c r="E75" s="73">
        <f t="shared" si="2"/>
        <v>1.8985507246376812</v>
      </c>
      <c r="F75" s="15">
        <f t="shared" si="3"/>
        <v>1.4615384615384617</v>
      </c>
    </row>
    <row r="76" spans="1:6">
      <c r="A76" s="7" t="s">
        <v>63</v>
      </c>
      <c r="B76" s="194">
        <v>1.9</v>
      </c>
      <c r="C76" s="194">
        <v>1.089</v>
      </c>
      <c r="D76" s="196">
        <v>0.97399999999999998</v>
      </c>
      <c r="E76" s="73">
        <f t="shared" si="2"/>
        <v>0.74471992653810837</v>
      </c>
      <c r="F76" s="15">
        <f t="shared" si="3"/>
        <v>0.95071868583162211</v>
      </c>
    </row>
    <row r="77" spans="1:6">
      <c r="A77" s="7" t="s">
        <v>64</v>
      </c>
      <c r="B77" s="194">
        <v>0.3</v>
      </c>
      <c r="C77" s="194">
        <v>0.23</v>
      </c>
      <c r="D77" s="196">
        <v>0.24399999999999999</v>
      </c>
      <c r="E77" s="73">
        <f t="shared" si="2"/>
        <v>0.30434782608695632</v>
      </c>
      <c r="F77" s="15">
        <f t="shared" si="3"/>
        <v>0.22950819672131151</v>
      </c>
    </row>
    <row r="78" spans="1:6">
      <c r="A78" s="7"/>
      <c r="B78" s="194"/>
      <c r="C78" s="194"/>
      <c r="D78" s="196"/>
      <c r="E78" s="73"/>
      <c r="F78" s="15"/>
    </row>
    <row r="79" spans="1:6">
      <c r="A79" s="7" t="s">
        <v>65</v>
      </c>
      <c r="B79" s="194">
        <v>68.400000000000006</v>
      </c>
      <c r="C79" s="194">
        <v>57.384999999999998</v>
      </c>
      <c r="D79" s="196">
        <v>54.64</v>
      </c>
      <c r="E79" s="73">
        <f t="shared" si="2"/>
        <v>0.19194911562254968</v>
      </c>
      <c r="F79" s="15">
        <f t="shared" si="3"/>
        <v>0.25183016105417289</v>
      </c>
    </row>
    <row r="80" spans="1:6">
      <c r="A80" s="7" t="s">
        <v>66</v>
      </c>
      <c r="B80" s="194">
        <v>51.7</v>
      </c>
      <c r="C80" s="194">
        <v>44.387999999999998</v>
      </c>
      <c r="D80" s="196">
        <v>41.093000000000004</v>
      </c>
      <c r="E80" s="73">
        <f t="shared" si="2"/>
        <v>0.16472920609173669</v>
      </c>
      <c r="F80" s="15">
        <f t="shared" si="3"/>
        <v>0.25812182123476024</v>
      </c>
    </row>
    <row r="81" spans="1:6">
      <c r="A81" s="7" t="s">
        <v>67</v>
      </c>
      <c r="B81" s="194">
        <v>3.9</v>
      </c>
      <c r="C81" s="194">
        <v>3.4119999999999999</v>
      </c>
      <c r="D81" s="196">
        <v>3.14</v>
      </c>
      <c r="E81" s="73">
        <f t="shared" si="2"/>
        <v>0.14302461899179364</v>
      </c>
      <c r="F81" s="15">
        <f t="shared" si="3"/>
        <v>0.2420382165605095</v>
      </c>
    </row>
    <row r="82" spans="1:6">
      <c r="A82" s="7" t="s">
        <v>68</v>
      </c>
      <c r="B82" s="194">
        <v>1</v>
      </c>
      <c r="C82" s="194">
        <v>1.038</v>
      </c>
      <c r="D82" s="196">
        <v>0.80100000000000005</v>
      </c>
      <c r="E82" s="73">
        <f t="shared" si="2"/>
        <v>-3.6608863198458574E-2</v>
      </c>
      <c r="F82" s="15">
        <f t="shared" si="3"/>
        <v>0.24843945068664164</v>
      </c>
    </row>
    <row r="83" spans="1:6">
      <c r="A83" s="7" t="s">
        <v>69</v>
      </c>
      <c r="B83" s="194">
        <v>11.8</v>
      </c>
      <c r="C83" s="194">
        <v>8.5470000000000006</v>
      </c>
      <c r="D83" s="196">
        <v>9.6059999999999999</v>
      </c>
      <c r="E83" s="73">
        <f t="shared" si="2"/>
        <v>0.3806013806013806</v>
      </c>
      <c r="F83" s="15">
        <f t="shared" si="3"/>
        <v>0.22839891734332718</v>
      </c>
    </row>
    <row r="84" spans="1:6">
      <c r="A84" s="7" t="s">
        <v>70</v>
      </c>
      <c r="B84" s="194">
        <v>0.3</v>
      </c>
      <c r="C84" s="194">
        <v>0.27700000000000002</v>
      </c>
      <c r="D84" s="196">
        <v>0.248</v>
      </c>
      <c r="E84" s="73">
        <f t="shared" si="2"/>
        <v>8.303249097472909E-2</v>
      </c>
      <c r="F84" s="15">
        <f t="shared" si="3"/>
        <v>0.20967741935483875</v>
      </c>
    </row>
    <row r="85" spans="1:6">
      <c r="A85" s="7" t="s">
        <v>71</v>
      </c>
      <c r="B85" s="194">
        <v>4.5999999999999996</v>
      </c>
      <c r="C85" s="194">
        <v>3.8570000000000002</v>
      </c>
      <c r="D85" s="196">
        <v>3.3759999999999999</v>
      </c>
      <c r="E85" s="73">
        <f t="shared" si="2"/>
        <v>0.19263676432460453</v>
      </c>
      <c r="F85" s="15">
        <f t="shared" si="3"/>
        <v>0.36255924170616116</v>
      </c>
    </row>
    <row r="86" spans="1:6">
      <c r="A86" s="7" t="s">
        <v>72</v>
      </c>
      <c r="B86" s="194">
        <v>4.2</v>
      </c>
      <c r="C86" s="194">
        <v>2.4060000000000001</v>
      </c>
      <c r="D86" s="196">
        <v>4.056</v>
      </c>
      <c r="E86" s="73">
        <f t="shared" si="2"/>
        <v>0.74563591022443898</v>
      </c>
      <c r="F86" s="15">
        <f t="shared" si="3"/>
        <v>3.5502958579881616E-2</v>
      </c>
    </row>
    <row r="87" spans="1:6">
      <c r="A87" s="7" t="s">
        <v>73</v>
      </c>
      <c r="B87" s="194">
        <v>0.6</v>
      </c>
      <c r="C87" s="194">
        <v>0.58399999999999996</v>
      </c>
      <c r="D87" s="196">
        <v>0.51300000000000001</v>
      </c>
      <c r="E87" s="73">
        <f t="shared" si="2"/>
        <v>2.7397260273972712E-2</v>
      </c>
      <c r="F87" s="15">
        <f t="shared" si="3"/>
        <v>0.16959064327485374</v>
      </c>
    </row>
    <row r="88" spans="1:6">
      <c r="A88" s="7" t="s">
        <v>74</v>
      </c>
      <c r="B88" s="194">
        <v>0.5</v>
      </c>
      <c r="C88" s="194">
        <v>0.33100000000000002</v>
      </c>
      <c r="D88" s="196">
        <v>0.435</v>
      </c>
      <c r="E88" s="73">
        <f t="shared" si="2"/>
        <v>0.51057401812688807</v>
      </c>
      <c r="F88" s="15">
        <f t="shared" si="3"/>
        <v>0.14942528735632177</v>
      </c>
    </row>
    <row r="89" spans="1:6">
      <c r="A89" s="7" t="s">
        <v>75</v>
      </c>
      <c r="B89" s="194">
        <v>1</v>
      </c>
      <c r="C89" s="194">
        <v>8.3000000000000004E-2</v>
      </c>
      <c r="D89" s="196">
        <v>5.8000000000000003E-2</v>
      </c>
      <c r="E89" s="73">
        <f t="shared" si="2"/>
        <v>11.048192771084336</v>
      </c>
      <c r="F89" s="15">
        <f t="shared" si="3"/>
        <v>16.241379310344826</v>
      </c>
    </row>
    <row r="90" spans="1:6">
      <c r="A90" s="7"/>
      <c r="B90" s="194"/>
      <c r="C90" s="194"/>
      <c r="D90" s="196"/>
      <c r="E90" s="73"/>
      <c r="F90" s="15"/>
    </row>
    <row r="91" spans="1:6">
      <c r="A91" s="7" t="s">
        <v>76</v>
      </c>
      <c r="B91" s="194">
        <v>2.5</v>
      </c>
      <c r="C91" s="194">
        <v>2.2480000000000002</v>
      </c>
      <c r="D91" s="196">
        <v>1.998</v>
      </c>
      <c r="E91" s="73">
        <f t="shared" si="2"/>
        <v>0.11209964412811368</v>
      </c>
      <c r="F91" s="15">
        <f t="shared" si="3"/>
        <v>0.25125125125125125</v>
      </c>
    </row>
    <row r="92" spans="1:6">
      <c r="A92" s="7" t="s">
        <v>77</v>
      </c>
      <c r="B92" s="194">
        <v>2.2999999999999998</v>
      </c>
      <c r="C92" s="194">
        <v>1.946</v>
      </c>
      <c r="D92" s="196">
        <v>1.738</v>
      </c>
      <c r="E92" s="73">
        <f t="shared" si="2"/>
        <v>0.18191161356628971</v>
      </c>
      <c r="F92" s="15">
        <f t="shared" si="3"/>
        <v>0.3233601841196776</v>
      </c>
    </row>
    <row r="93" spans="1:6">
      <c r="A93" s="7" t="s">
        <v>78</v>
      </c>
      <c r="B93" s="194">
        <v>0.2</v>
      </c>
      <c r="C93" s="194">
        <v>0.24399999999999999</v>
      </c>
      <c r="D93" s="196">
        <v>0.20899999999999999</v>
      </c>
      <c r="E93" s="73">
        <f t="shared" si="2"/>
        <v>-0.18032786885245899</v>
      </c>
      <c r="F93" s="15">
        <f t="shared" si="3"/>
        <v>-4.3062200956937691E-2</v>
      </c>
    </row>
    <row r="94" spans="1:6">
      <c r="A94" s="7" t="s">
        <v>19</v>
      </c>
      <c r="B94" s="194">
        <v>0</v>
      </c>
      <c r="C94" s="194">
        <v>5.8000000000000003E-2</v>
      </c>
      <c r="D94" s="196">
        <v>5.0999999999999997E-2</v>
      </c>
      <c r="E94" s="73">
        <f t="shared" si="2"/>
        <v>-1</v>
      </c>
      <c r="F94" s="15">
        <f t="shared" si="3"/>
        <v>-1</v>
      </c>
    </row>
    <row r="95" spans="1:6">
      <c r="A95" s="7"/>
      <c r="B95" s="194"/>
      <c r="C95" s="194"/>
      <c r="D95" s="196"/>
      <c r="E95" s="73"/>
      <c r="F95" s="15"/>
    </row>
    <row r="96" spans="1:6" ht="13.5" thickBot="1">
      <c r="A96" s="9" t="s">
        <v>79</v>
      </c>
      <c r="B96" s="199">
        <v>0.6</v>
      </c>
      <c r="C96" s="199">
        <v>0.74</v>
      </c>
      <c r="D96" s="200">
        <v>1.6</v>
      </c>
      <c r="E96" s="74">
        <f t="shared" si="2"/>
        <v>-0.18918918918918926</v>
      </c>
      <c r="F96" s="16">
        <f t="shared" si="3"/>
        <v>-0.625</v>
      </c>
    </row>
  </sheetData>
  <mergeCells count="2">
    <mergeCell ref="E3:F3"/>
    <mergeCell ref="B3:D3"/>
  </mergeCells>
  <conditionalFormatting sqref="F5:F96">
    <cfRule type="cellIs" dxfId="95" priority="5" operator="lessThan">
      <formula>0</formula>
    </cfRule>
    <cfRule type="cellIs" dxfId="94" priority="6" operator="greaterThan">
      <formula>0</formula>
    </cfRule>
    <cfRule type="cellIs" dxfId="93" priority="7" operator="greaterThan">
      <formula>0</formula>
    </cfRule>
    <cfRule type="cellIs" dxfId="92" priority="8" operator="lessThan">
      <formula>0</formula>
    </cfRule>
  </conditionalFormatting>
  <conditionalFormatting sqref="E5:E96">
    <cfRule type="cellIs" dxfId="91" priority="1" operator="lessThan">
      <formula>0</formula>
    </cfRule>
    <cfRule type="cellIs" dxfId="90" priority="2" operator="greaterThan">
      <formula>0</formula>
    </cfRule>
    <cfRule type="cellIs" dxfId="89" priority="3" operator="greaterThan">
      <formula>0</formula>
    </cfRule>
    <cfRule type="cellIs" dxfId="88" priority="4" operator="lessThan">
      <formula>0</formula>
    </cfRule>
  </conditionalFormatting>
  <pageMargins left="0.7" right="0.7" top="0.75" bottom="0.75" header="0.3" footer="0.3"/>
  <pageSetup paperSize="9" orientation="portrait" r:id="rId1"/>
  <rowBreaks count="1" manualBreakCount="1">
    <brk id="5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8"/>
  <sheetViews>
    <sheetView rightToLeft="1" workbookViewId="0">
      <selection activeCell="H4" sqref="H4"/>
    </sheetView>
  </sheetViews>
  <sheetFormatPr defaultRowHeight="15"/>
  <cols>
    <col min="1" max="2" width="12.28515625" bestFit="1" customWidth="1"/>
    <col min="3" max="3" width="15.28515625" bestFit="1" customWidth="1"/>
  </cols>
  <sheetData>
    <row r="1" spans="1:3">
      <c r="A1" s="122" t="s">
        <v>218</v>
      </c>
      <c r="B1" s="122" t="s">
        <v>219</v>
      </c>
      <c r="C1" s="122" t="s">
        <v>217</v>
      </c>
    </row>
    <row r="2" spans="1:3">
      <c r="A2" s="185">
        <v>327300200</v>
      </c>
      <c r="B2" s="185">
        <v>349358100</v>
      </c>
      <c r="C2" s="173">
        <v>439385500</v>
      </c>
    </row>
    <row r="3" spans="1:3">
      <c r="A3" s="122" t="s">
        <v>218</v>
      </c>
      <c r="B3" s="122" t="s">
        <v>219</v>
      </c>
      <c r="C3" s="122" t="s">
        <v>217</v>
      </c>
    </row>
    <row r="4" spans="1:3">
      <c r="A4" s="185">
        <f>A2*$A$8/1000000</f>
        <v>1194.64573</v>
      </c>
      <c r="B4" s="185">
        <f>B2*$A$8/1000000</f>
        <v>1275.1570650000001</v>
      </c>
      <c r="C4" s="185">
        <f>C2*$A$8/1000000</f>
        <v>1603.757075</v>
      </c>
    </row>
    <row r="6" spans="1:3" ht="15.75" thickBot="1"/>
    <row r="7" spans="1:3">
      <c r="A7" s="89" t="s">
        <v>236</v>
      </c>
    </row>
    <row r="8" spans="1:3" ht="15.75" thickBot="1">
      <c r="A8" s="186">
        <v>3.65</v>
      </c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6"/>
  <sheetViews>
    <sheetView zoomScaleNormal="100" workbookViewId="0">
      <selection activeCell="A9" sqref="A9"/>
    </sheetView>
  </sheetViews>
  <sheetFormatPr defaultColWidth="9" defaultRowHeight="12.75"/>
  <cols>
    <col min="1" max="1" width="26.28515625" style="62" customWidth="1"/>
    <col min="2" max="3" width="8.28515625" style="62" bestFit="1" customWidth="1"/>
    <col min="4" max="4" width="7.28515625" style="62" bestFit="1" customWidth="1"/>
    <col min="5" max="6" width="6.5703125" style="62" bestFit="1" customWidth="1"/>
    <col min="7" max="8" width="7.5703125" style="62" bestFit="1" customWidth="1"/>
    <col min="9" max="9" width="8.85546875" style="62" bestFit="1" customWidth="1"/>
    <col min="10" max="10" width="7.85546875" style="62" bestFit="1" customWidth="1"/>
    <col min="11" max="11" width="6.5703125" style="62" bestFit="1" customWidth="1"/>
    <col min="12" max="16384" width="9" style="62"/>
  </cols>
  <sheetData>
    <row r="1" spans="1:15">
      <c r="A1" s="8" t="s">
        <v>129</v>
      </c>
      <c r="B1" s="8"/>
      <c r="J1" s="1"/>
    </row>
    <row r="2" spans="1:15" ht="13.5" thickBot="1">
      <c r="A2" s="1" t="s">
        <v>237</v>
      </c>
      <c r="B2" s="63"/>
      <c r="C2" s="63"/>
      <c r="D2" s="63"/>
      <c r="G2" s="63"/>
      <c r="H2" s="63"/>
      <c r="I2" s="63"/>
    </row>
    <row r="3" spans="1:15" ht="13.5" thickBot="1">
      <c r="A3" s="10"/>
      <c r="B3" s="326" t="s">
        <v>84</v>
      </c>
      <c r="C3" s="331"/>
      <c r="D3" s="327"/>
      <c r="E3" s="332" t="s">
        <v>0</v>
      </c>
      <c r="F3" s="333"/>
      <c r="G3" s="326" t="s">
        <v>85</v>
      </c>
      <c r="H3" s="331"/>
      <c r="I3" s="327"/>
      <c r="J3" s="334" t="s">
        <v>0</v>
      </c>
      <c r="K3" s="335"/>
    </row>
    <row r="4" spans="1:15" ht="13.5" thickBot="1">
      <c r="A4" s="5"/>
      <c r="B4" s="21">
        <v>2017</v>
      </c>
      <c r="C4" s="21">
        <v>2016</v>
      </c>
      <c r="D4" s="21">
        <v>2015</v>
      </c>
      <c r="E4" s="21" t="s">
        <v>214</v>
      </c>
      <c r="F4" s="21" t="s">
        <v>215</v>
      </c>
      <c r="G4" s="21">
        <v>2017</v>
      </c>
      <c r="H4" s="21">
        <v>2016</v>
      </c>
      <c r="I4" s="21">
        <v>2015</v>
      </c>
      <c r="J4" s="21" t="s">
        <v>214</v>
      </c>
      <c r="K4" s="21" t="s">
        <v>215</v>
      </c>
    </row>
    <row r="5" spans="1:15">
      <c r="A5" s="7" t="s">
        <v>1</v>
      </c>
      <c r="B5" s="201">
        <v>233.8</v>
      </c>
      <c r="C5" s="201">
        <v>191.24199999999999</v>
      </c>
      <c r="D5" s="202">
        <v>187.01499999999999</v>
      </c>
      <c r="E5" s="77">
        <f>B5/C5-1</f>
        <v>0.22253479884125893</v>
      </c>
      <c r="F5" s="78">
        <f>B5/D5-1</f>
        <v>0.25016709889581068</v>
      </c>
      <c r="G5" s="209">
        <f>B5+Jan!B5</f>
        <v>443.70000000000005</v>
      </c>
      <c r="H5" s="209">
        <f>C5+Jan!C5</f>
        <v>356.07100000000003</v>
      </c>
      <c r="I5" s="210">
        <f>D5+Jan!D5</f>
        <v>355.30799999999999</v>
      </c>
      <c r="J5" s="79">
        <f>G5/H5-1</f>
        <v>0.24609979470386523</v>
      </c>
      <c r="K5" s="80">
        <f>G5/I5-1</f>
        <v>0.24877571008814914</v>
      </c>
    </row>
    <row r="6" spans="1:15">
      <c r="A6" s="7" t="s">
        <v>2</v>
      </c>
      <c r="B6" s="203">
        <v>31.7</v>
      </c>
      <c r="C6" s="204">
        <v>20.821999999999999</v>
      </c>
      <c r="D6" s="205">
        <v>18.548999999999999</v>
      </c>
      <c r="E6" s="73">
        <f t="shared" ref="E6:E69" si="0">B6/C6-1</f>
        <v>0.52242820094131215</v>
      </c>
      <c r="F6" s="71">
        <f t="shared" ref="F6:F69" si="1">B6/D6-1</f>
        <v>0.70898700738584286</v>
      </c>
      <c r="G6" s="209">
        <f>B6+Jan!B6</f>
        <v>59.099999999999994</v>
      </c>
      <c r="H6" s="209">
        <f>C6+Jan!C6</f>
        <v>37.259</v>
      </c>
      <c r="I6" s="210">
        <f>D6+Jan!D6</f>
        <v>33.965000000000003</v>
      </c>
      <c r="J6" s="64">
        <f t="shared" ref="J6:J69" si="2">G6/H6-1</f>
        <v>0.58619393971926237</v>
      </c>
      <c r="K6" s="65">
        <f t="shared" ref="K6:K69" si="3">G6/I6-1</f>
        <v>0.74002649786544938</v>
      </c>
    </row>
    <row r="7" spans="1:15">
      <c r="A7" s="7"/>
      <c r="B7" s="203"/>
      <c r="C7" s="204"/>
      <c r="D7" s="205"/>
      <c r="E7" s="73"/>
      <c r="F7" s="71"/>
      <c r="G7" s="209"/>
      <c r="H7" s="209"/>
      <c r="I7" s="210">
        <f>D7+Jan!D7</f>
        <v>0</v>
      </c>
      <c r="J7" s="64"/>
      <c r="K7" s="65"/>
    </row>
    <row r="8" spans="1:15">
      <c r="A8" s="7" t="s">
        <v>3</v>
      </c>
      <c r="B8" s="203">
        <v>24.5</v>
      </c>
      <c r="C8" s="204">
        <v>16.768000000000001</v>
      </c>
      <c r="D8" s="205">
        <v>15.000999999999999</v>
      </c>
      <c r="E8" s="73">
        <f t="shared" si="0"/>
        <v>0.46111641221374033</v>
      </c>
      <c r="F8" s="71">
        <f t="shared" si="1"/>
        <v>0.63322445170321995</v>
      </c>
      <c r="G8" s="209">
        <f>B8+Jan!B8</f>
        <v>46.2</v>
      </c>
      <c r="H8" s="209">
        <f>C8+Jan!C8</f>
        <v>28.896000000000001</v>
      </c>
      <c r="I8" s="210">
        <f>D8+Jan!D8</f>
        <v>25.978999999999999</v>
      </c>
      <c r="J8" s="64">
        <f t="shared" si="2"/>
        <v>0.59883720930232553</v>
      </c>
      <c r="K8" s="65">
        <f t="shared" si="3"/>
        <v>0.77835944416644232</v>
      </c>
    </row>
    <row r="9" spans="1:15">
      <c r="A9" s="7" t="s">
        <v>4</v>
      </c>
      <c r="B9" s="203">
        <v>2.4</v>
      </c>
      <c r="C9" s="204">
        <v>1.954</v>
      </c>
      <c r="D9" s="205">
        <v>2.0470000000000002</v>
      </c>
      <c r="E9" s="73">
        <f t="shared" si="0"/>
        <v>0.22824974411463672</v>
      </c>
      <c r="F9" s="71">
        <f t="shared" si="1"/>
        <v>0.17244748412310695</v>
      </c>
      <c r="G9" s="209">
        <f>B9+Jan!B9</f>
        <v>4.2</v>
      </c>
      <c r="H9" s="209">
        <f>C9+Jan!C9</f>
        <v>3.633</v>
      </c>
      <c r="I9" s="210">
        <f>D9+Jan!D9</f>
        <v>3.4430000000000001</v>
      </c>
      <c r="J9" s="64">
        <f t="shared" si="2"/>
        <v>0.1560693641618498</v>
      </c>
      <c r="K9" s="65">
        <f t="shared" si="3"/>
        <v>0.21986639558524557</v>
      </c>
    </row>
    <row r="10" spans="1:15">
      <c r="A10" s="7" t="s">
        <v>5</v>
      </c>
      <c r="B10" s="203">
        <v>0.7</v>
      </c>
      <c r="C10" s="204">
        <v>0.55300000000000005</v>
      </c>
      <c r="D10" s="205">
        <v>0.26500000000000001</v>
      </c>
      <c r="E10" s="73">
        <f t="shared" si="0"/>
        <v>0.26582278481012644</v>
      </c>
      <c r="F10" s="71">
        <f t="shared" si="1"/>
        <v>1.641509433962264</v>
      </c>
      <c r="G10" s="209">
        <f>B10+Jan!B10</f>
        <v>1.2999999999999998</v>
      </c>
      <c r="H10" s="209">
        <f>C10+Jan!C10</f>
        <v>0.70400000000000007</v>
      </c>
      <c r="I10" s="210">
        <f>D10+Jan!D10</f>
        <v>0.46100000000000002</v>
      </c>
      <c r="J10" s="64">
        <f t="shared" si="2"/>
        <v>0.84659090909090873</v>
      </c>
      <c r="K10" s="65">
        <f t="shared" si="3"/>
        <v>1.8199566160520604</v>
      </c>
      <c r="O10" s="63"/>
    </row>
    <row r="11" spans="1:15">
      <c r="A11" s="7" t="s">
        <v>6</v>
      </c>
      <c r="B11" s="203">
        <v>3</v>
      </c>
      <c r="C11" s="204">
        <v>1.671</v>
      </c>
      <c r="D11" s="205">
        <v>1.911</v>
      </c>
      <c r="E11" s="73">
        <f t="shared" si="0"/>
        <v>0.79533213644524237</v>
      </c>
      <c r="F11" s="71">
        <f t="shared" si="1"/>
        <v>0.56985871271585564</v>
      </c>
      <c r="G11" s="209">
        <f>B11+Jan!B11</f>
        <v>5.4</v>
      </c>
      <c r="H11" s="209">
        <f>C11+Jan!C11</f>
        <v>2.7050000000000001</v>
      </c>
      <c r="I11" s="210">
        <f>D11+Jan!D11</f>
        <v>3.1109999999999998</v>
      </c>
      <c r="J11" s="64">
        <f t="shared" si="2"/>
        <v>0.99630314232902051</v>
      </c>
      <c r="K11" s="65">
        <f t="shared" si="3"/>
        <v>0.73577627772420473</v>
      </c>
    </row>
    <row r="12" spans="1:15">
      <c r="A12" s="7" t="s">
        <v>86</v>
      </c>
      <c r="B12" s="203">
        <v>0.2</v>
      </c>
      <c r="C12" s="204">
        <v>0.45900000000000002</v>
      </c>
      <c r="D12" s="205">
        <v>0.49399999999999999</v>
      </c>
      <c r="E12" s="73">
        <f t="shared" si="0"/>
        <v>-0.56427015250544654</v>
      </c>
      <c r="F12" s="71">
        <f t="shared" si="1"/>
        <v>-0.59514170040485825</v>
      </c>
      <c r="G12" s="209">
        <f>B12+Jan!B12</f>
        <v>0.60000000000000009</v>
      </c>
      <c r="H12" s="209">
        <f>C12+Jan!C12</f>
        <v>0.67800000000000005</v>
      </c>
      <c r="I12" s="210">
        <f>D12+Jan!D12</f>
        <v>0.69799999999999995</v>
      </c>
      <c r="J12" s="64">
        <f t="shared" si="2"/>
        <v>-0.11504424778761058</v>
      </c>
      <c r="K12" s="65">
        <f t="shared" si="3"/>
        <v>-0.14040114613180499</v>
      </c>
    </row>
    <row r="13" spans="1:15">
      <c r="A13" s="7" t="s">
        <v>8</v>
      </c>
      <c r="B13" s="203">
        <v>8.1999999999999993</v>
      </c>
      <c r="C13" s="204">
        <v>4.484</v>
      </c>
      <c r="D13" s="205">
        <v>4.5780000000000003</v>
      </c>
      <c r="E13" s="73">
        <f t="shared" si="0"/>
        <v>0.82872435325602134</v>
      </c>
      <c r="F13" s="71">
        <f t="shared" si="1"/>
        <v>0.79117518567059819</v>
      </c>
      <c r="G13" s="209">
        <f>B13+Jan!B13</f>
        <v>17.399999999999999</v>
      </c>
      <c r="H13" s="209">
        <f>C13+Jan!C13</f>
        <v>7.5440000000000005</v>
      </c>
      <c r="I13" s="210">
        <f>D13+Jan!D13</f>
        <v>6.7089999999999996</v>
      </c>
      <c r="J13" s="64">
        <f t="shared" si="2"/>
        <v>1.3064687168610813</v>
      </c>
      <c r="K13" s="65">
        <f t="shared" si="3"/>
        <v>1.5935310776568787</v>
      </c>
    </row>
    <row r="14" spans="1:15">
      <c r="A14" s="7" t="s">
        <v>9</v>
      </c>
      <c r="B14" s="203">
        <v>1.2</v>
      </c>
      <c r="C14" s="204">
        <v>0.95299999999999996</v>
      </c>
      <c r="D14" s="205">
        <v>0.99</v>
      </c>
      <c r="E14" s="73">
        <f t="shared" si="0"/>
        <v>0.25918153200419725</v>
      </c>
      <c r="F14" s="71">
        <f t="shared" si="1"/>
        <v>0.21212121212121215</v>
      </c>
      <c r="G14" s="209">
        <f>B14+Jan!B14</f>
        <v>2.5</v>
      </c>
      <c r="H14" s="209">
        <f>C14+Jan!C14</f>
        <v>1.669</v>
      </c>
      <c r="I14" s="210">
        <f>D14+Jan!D14</f>
        <v>2.2110000000000003</v>
      </c>
      <c r="J14" s="64">
        <f t="shared" si="2"/>
        <v>0.49790293588975421</v>
      </c>
      <c r="K14" s="65">
        <f t="shared" si="3"/>
        <v>0.13071008593396627</v>
      </c>
    </row>
    <row r="15" spans="1:15">
      <c r="A15" s="7" t="s">
        <v>10</v>
      </c>
      <c r="B15" s="203">
        <v>0.8</v>
      </c>
      <c r="C15" s="204">
        <v>0.52300000000000002</v>
      </c>
      <c r="D15" s="205">
        <v>0.83399999999999996</v>
      </c>
      <c r="E15" s="73">
        <f t="shared" si="0"/>
        <v>0.5296367112810707</v>
      </c>
      <c r="F15" s="71">
        <f t="shared" si="1"/>
        <v>-4.0767386091126956E-2</v>
      </c>
      <c r="G15" s="209">
        <f>B15+Jan!B15</f>
        <v>1.7000000000000002</v>
      </c>
      <c r="H15" s="209">
        <f>C15+Jan!C15</f>
        <v>1.2229999999999999</v>
      </c>
      <c r="I15" s="210">
        <f>D15+Jan!D15</f>
        <v>1.1259999999999999</v>
      </c>
      <c r="J15" s="64">
        <f t="shared" si="2"/>
        <v>0.39002452984464453</v>
      </c>
      <c r="K15" s="65">
        <f t="shared" si="3"/>
        <v>0.50976909413854377</v>
      </c>
    </row>
    <row r="16" spans="1:15">
      <c r="A16" s="7" t="s">
        <v>11</v>
      </c>
      <c r="B16" s="203">
        <v>5.2</v>
      </c>
      <c r="C16" s="204">
        <v>4.1369999999999996</v>
      </c>
      <c r="D16" s="205">
        <v>2.569</v>
      </c>
      <c r="E16" s="73">
        <f t="shared" si="0"/>
        <v>0.2569494802997343</v>
      </c>
      <c r="F16" s="71">
        <f t="shared" si="1"/>
        <v>1.0241339042428961</v>
      </c>
      <c r="G16" s="209">
        <f>B16+Jan!B16</f>
        <v>9.1999999999999993</v>
      </c>
      <c r="H16" s="209">
        <f>C16+Jan!C16</f>
        <v>7.4289999999999994</v>
      </c>
      <c r="I16" s="210">
        <f>D16+Jan!D16</f>
        <v>5.8629999999999995</v>
      </c>
      <c r="J16" s="64">
        <f t="shared" si="2"/>
        <v>0.23839009287925705</v>
      </c>
      <c r="K16" s="65">
        <f t="shared" si="3"/>
        <v>0.56916254477230077</v>
      </c>
    </row>
    <row r="17" spans="1:11">
      <c r="A17" s="7" t="s">
        <v>12</v>
      </c>
      <c r="B17" s="203">
        <v>0.7</v>
      </c>
      <c r="C17" s="204">
        <v>0.92200000000000004</v>
      </c>
      <c r="D17" s="205">
        <v>0.35</v>
      </c>
      <c r="E17" s="73">
        <f t="shared" si="0"/>
        <v>-0.24078091106290678</v>
      </c>
      <c r="F17" s="71">
        <f t="shared" si="1"/>
        <v>1</v>
      </c>
      <c r="G17" s="209">
        <f>B17+Jan!B17</f>
        <v>1.2</v>
      </c>
      <c r="H17" s="209">
        <f>C17+Jan!C17</f>
        <v>1.5649999999999999</v>
      </c>
      <c r="I17" s="210">
        <f>D17+Jan!D17</f>
        <v>0.83399999999999996</v>
      </c>
      <c r="J17" s="64">
        <f t="shared" si="2"/>
        <v>-0.23322683706070291</v>
      </c>
      <c r="K17" s="65">
        <f t="shared" si="3"/>
        <v>0.43884892086330929</v>
      </c>
    </row>
    <row r="18" spans="1:11">
      <c r="A18" s="7" t="s">
        <v>13</v>
      </c>
      <c r="B18" s="203">
        <v>0.2</v>
      </c>
      <c r="C18" s="204">
        <v>0.105</v>
      </c>
      <c r="D18" s="205">
        <v>0.108</v>
      </c>
      <c r="E18" s="73">
        <f t="shared" si="0"/>
        <v>0.90476190476190488</v>
      </c>
      <c r="F18" s="71">
        <f t="shared" si="1"/>
        <v>0.85185185185185208</v>
      </c>
      <c r="G18" s="209">
        <f>B18+Jan!B18</f>
        <v>0.30000000000000004</v>
      </c>
      <c r="H18" s="209">
        <f>C18+Jan!C18</f>
        <v>0.22799999999999998</v>
      </c>
      <c r="I18" s="210">
        <f>D18+Jan!D18</f>
        <v>0.23399999999999999</v>
      </c>
      <c r="J18" s="64">
        <f t="shared" si="2"/>
        <v>0.31578947368421084</v>
      </c>
      <c r="K18" s="65">
        <f t="shared" si="3"/>
        <v>0.28205128205128238</v>
      </c>
    </row>
    <row r="19" spans="1:11">
      <c r="A19" s="7" t="s">
        <v>14</v>
      </c>
      <c r="B19" s="203">
        <v>1.9</v>
      </c>
      <c r="C19" s="204">
        <v>1.0069999999999999</v>
      </c>
      <c r="D19" s="205">
        <v>0.85499999999999998</v>
      </c>
      <c r="E19" s="73">
        <f t="shared" si="0"/>
        <v>0.8867924528301887</v>
      </c>
      <c r="F19" s="71">
        <f t="shared" si="1"/>
        <v>1.2222222222222223</v>
      </c>
      <c r="G19" s="209">
        <f>B19+Jan!B19</f>
        <v>2.4</v>
      </c>
      <c r="H19" s="209">
        <f>C19+Jan!C19</f>
        <v>1.5179999999999998</v>
      </c>
      <c r="I19" s="210">
        <f>D19+Jan!D19</f>
        <v>1.2889999999999999</v>
      </c>
      <c r="J19" s="64">
        <f t="shared" si="2"/>
        <v>0.58102766798418992</v>
      </c>
      <c r="K19" s="65">
        <f t="shared" si="3"/>
        <v>0.86190845616757183</v>
      </c>
    </row>
    <row r="20" spans="1:11">
      <c r="A20" s="7"/>
      <c r="B20" s="203"/>
      <c r="C20" s="204"/>
      <c r="D20" s="205"/>
      <c r="E20" s="73"/>
      <c r="F20" s="71"/>
      <c r="G20" s="209"/>
      <c r="H20" s="209"/>
      <c r="I20" s="210">
        <f>D20+Jan!D20</f>
        <v>0</v>
      </c>
      <c r="J20" s="64"/>
      <c r="K20" s="65"/>
    </row>
    <row r="21" spans="1:11">
      <c r="A21" s="7" t="s">
        <v>15</v>
      </c>
      <c r="B21" s="203">
        <v>5.0999999999999996</v>
      </c>
      <c r="C21" s="204">
        <v>4.0540000000000003</v>
      </c>
      <c r="D21" s="205">
        <v>3.548</v>
      </c>
      <c r="E21" s="73">
        <f t="shared" si="0"/>
        <v>0.25801677355698049</v>
      </c>
      <c r="F21" s="71">
        <f t="shared" si="1"/>
        <v>0.43742953776775639</v>
      </c>
      <c r="G21" s="209">
        <f>B21+Jan!B21</f>
        <v>10.8</v>
      </c>
      <c r="H21" s="209">
        <f>C21+Jan!C21</f>
        <v>8.3629999999999995</v>
      </c>
      <c r="I21" s="210">
        <f>D21+Jan!D21</f>
        <v>7.9859999999999998</v>
      </c>
      <c r="J21" s="64">
        <f t="shared" si="2"/>
        <v>0.29140260672007678</v>
      </c>
      <c r="K21" s="65">
        <f t="shared" si="3"/>
        <v>0.35236664162284015</v>
      </c>
    </row>
    <row r="22" spans="1:11">
      <c r="A22" s="7" t="s">
        <v>16</v>
      </c>
      <c r="B22" s="203">
        <v>0.6</v>
      </c>
      <c r="C22" s="204">
        <v>0.42099999999999999</v>
      </c>
      <c r="D22" s="205">
        <v>0.318</v>
      </c>
      <c r="E22" s="73">
        <f t="shared" si="0"/>
        <v>0.42517814726840863</v>
      </c>
      <c r="F22" s="71">
        <f t="shared" si="1"/>
        <v>0.88679245283018848</v>
      </c>
      <c r="G22" s="209">
        <f>B22+Jan!B22</f>
        <v>1</v>
      </c>
      <c r="H22" s="209">
        <f>C22+Jan!C22</f>
        <v>0.73199999999999998</v>
      </c>
      <c r="I22" s="210">
        <f>D22+Jan!D22</f>
        <v>0.66700000000000004</v>
      </c>
      <c r="J22" s="64">
        <f t="shared" si="2"/>
        <v>0.36612021857923494</v>
      </c>
      <c r="K22" s="65">
        <f t="shared" si="3"/>
        <v>0.4992503748125936</v>
      </c>
    </row>
    <row r="23" spans="1:11">
      <c r="A23" s="7" t="s">
        <v>17</v>
      </c>
      <c r="B23" s="203">
        <v>2.9</v>
      </c>
      <c r="C23" s="204">
        <v>2.36</v>
      </c>
      <c r="D23" s="205">
        <v>1.585</v>
      </c>
      <c r="E23" s="73">
        <f t="shared" si="0"/>
        <v>0.22881355932203395</v>
      </c>
      <c r="F23" s="71">
        <f t="shared" si="1"/>
        <v>0.82965299684542582</v>
      </c>
      <c r="G23" s="209">
        <f>B23+Jan!B23</f>
        <v>5.9</v>
      </c>
      <c r="H23" s="209">
        <f>C23+Jan!C23</f>
        <v>4.5410000000000004</v>
      </c>
      <c r="I23" s="210">
        <f>D23+Jan!D23</f>
        <v>3.3659999999999997</v>
      </c>
      <c r="J23" s="64">
        <f t="shared" si="2"/>
        <v>0.29927328782206564</v>
      </c>
      <c r="K23" s="65">
        <f t="shared" si="3"/>
        <v>0.75282234105763557</v>
      </c>
    </row>
    <row r="24" spans="1:11">
      <c r="A24" s="7" t="s">
        <v>18</v>
      </c>
      <c r="B24" s="203">
        <v>0.8</v>
      </c>
      <c r="C24" s="204">
        <v>0.66300000000000003</v>
      </c>
      <c r="D24" s="205">
        <v>0.86799999999999999</v>
      </c>
      <c r="E24" s="73">
        <f t="shared" si="0"/>
        <v>0.20663650075414774</v>
      </c>
      <c r="F24" s="71">
        <f t="shared" si="1"/>
        <v>-7.8341013824884786E-2</v>
      </c>
      <c r="G24" s="209">
        <f>B24+Jan!B24</f>
        <v>2.2000000000000002</v>
      </c>
      <c r="H24" s="209">
        <f>C24+Jan!C24</f>
        <v>1.9390000000000001</v>
      </c>
      <c r="I24" s="210">
        <f>D24+Jan!D24</f>
        <v>2.331</v>
      </c>
      <c r="J24" s="64">
        <f t="shared" si="2"/>
        <v>0.13460546673543061</v>
      </c>
      <c r="K24" s="65">
        <f t="shared" si="3"/>
        <v>-5.6199056199056074E-2</v>
      </c>
    </row>
    <row r="25" spans="1:11">
      <c r="A25" s="7" t="s">
        <v>19</v>
      </c>
      <c r="B25" s="203">
        <v>0.8</v>
      </c>
      <c r="C25" s="204">
        <v>0.61</v>
      </c>
      <c r="D25" s="205">
        <v>0.77700000000000002</v>
      </c>
      <c r="E25" s="73">
        <f t="shared" si="0"/>
        <v>0.3114754098360657</v>
      </c>
      <c r="F25" s="71">
        <f t="shared" si="1"/>
        <v>2.9601029601029616E-2</v>
      </c>
      <c r="G25" s="209">
        <f>B25+Jan!B25</f>
        <v>1.7000000000000002</v>
      </c>
      <c r="H25" s="209">
        <f>C25+Jan!C25</f>
        <v>1.151</v>
      </c>
      <c r="I25" s="210">
        <f>D25+Jan!D25</f>
        <v>1.6219999999999999</v>
      </c>
      <c r="J25" s="64">
        <f t="shared" si="2"/>
        <v>0.47697654213727203</v>
      </c>
      <c r="K25" s="65">
        <f t="shared" si="3"/>
        <v>4.8088779284833683E-2</v>
      </c>
    </row>
    <row r="26" spans="1:11">
      <c r="A26" s="7"/>
      <c r="B26" s="203"/>
      <c r="C26" s="204"/>
      <c r="D26" s="205"/>
      <c r="E26" s="73"/>
      <c r="F26" s="71"/>
      <c r="G26" s="209"/>
      <c r="H26" s="209"/>
      <c r="I26" s="210">
        <f>D26+Jan!D26</f>
        <v>0</v>
      </c>
      <c r="J26" s="64"/>
      <c r="K26" s="65"/>
    </row>
    <row r="27" spans="1:11">
      <c r="A27" s="7" t="s">
        <v>20</v>
      </c>
      <c r="B27" s="203">
        <v>2.7</v>
      </c>
      <c r="C27" s="204">
        <v>2.5209999999999999</v>
      </c>
      <c r="D27" s="205">
        <v>2.1819999999999999</v>
      </c>
      <c r="E27" s="73">
        <f t="shared" si="0"/>
        <v>7.1003570011900052E-2</v>
      </c>
      <c r="F27" s="71">
        <f t="shared" si="1"/>
        <v>0.23739688359303401</v>
      </c>
      <c r="G27" s="209">
        <f>B27+Jan!B27</f>
        <v>5.6</v>
      </c>
      <c r="H27" s="209">
        <f>C27+Jan!C27</f>
        <v>5.1080000000000005</v>
      </c>
      <c r="I27" s="210">
        <f>D27+Jan!D27</f>
        <v>4.5709999999999997</v>
      </c>
      <c r="J27" s="64">
        <f t="shared" si="2"/>
        <v>9.6319498825371719E-2</v>
      </c>
      <c r="K27" s="65">
        <f t="shared" si="3"/>
        <v>0.22511485451761093</v>
      </c>
    </row>
    <row r="28" spans="1:11">
      <c r="A28" s="7" t="s">
        <v>21</v>
      </c>
      <c r="B28" s="203">
        <v>1</v>
      </c>
      <c r="C28" s="204">
        <v>0.95499999999999996</v>
      </c>
      <c r="D28" s="205">
        <v>0.81399999999999995</v>
      </c>
      <c r="E28" s="73">
        <f t="shared" si="0"/>
        <v>4.7120418848167533E-2</v>
      </c>
      <c r="F28" s="71">
        <f t="shared" si="1"/>
        <v>0.22850122850122867</v>
      </c>
      <c r="G28" s="209">
        <f>B28+Jan!B28</f>
        <v>2</v>
      </c>
      <c r="H28" s="209">
        <f>C28+Jan!C28</f>
        <v>1.92</v>
      </c>
      <c r="I28" s="210">
        <f>D28+Jan!D28</f>
        <v>1.742</v>
      </c>
      <c r="J28" s="64">
        <f t="shared" si="2"/>
        <v>4.1666666666666741E-2</v>
      </c>
      <c r="K28" s="65">
        <f t="shared" si="3"/>
        <v>0.14810562571756591</v>
      </c>
    </row>
    <row r="29" spans="1:11">
      <c r="A29" s="7" t="s">
        <v>22</v>
      </c>
      <c r="B29" s="203">
        <v>0.1</v>
      </c>
      <c r="C29" s="204">
        <v>0.14199999999999999</v>
      </c>
      <c r="D29" s="205">
        <v>8.1000000000000003E-2</v>
      </c>
      <c r="E29" s="73">
        <f t="shared" si="0"/>
        <v>-0.29577464788732388</v>
      </c>
      <c r="F29" s="71">
        <f t="shared" si="1"/>
        <v>0.23456790123456783</v>
      </c>
      <c r="G29" s="209">
        <f>B29+Jan!B29</f>
        <v>0.30000000000000004</v>
      </c>
      <c r="H29" s="209">
        <f>C29+Jan!C29</f>
        <v>0.38</v>
      </c>
      <c r="I29" s="210">
        <f>D29+Jan!D29</f>
        <v>0.22299999999999998</v>
      </c>
      <c r="J29" s="64">
        <f t="shared" si="2"/>
        <v>-0.21052631578947356</v>
      </c>
      <c r="K29" s="65">
        <f t="shared" si="3"/>
        <v>0.34529147982062813</v>
      </c>
    </row>
    <row r="30" spans="1:11">
      <c r="A30" s="7" t="s">
        <v>23</v>
      </c>
      <c r="B30" s="203">
        <v>0.3</v>
      </c>
      <c r="C30" s="204">
        <v>0.217</v>
      </c>
      <c r="D30" s="205">
        <v>0.20799999999999999</v>
      </c>
      <c r="E30" s="73">
        <f t="shared" si="0"/>
        <v>0.38248847926267282</v>
      </c>
      <c r="F30" s="71">
        <f t="shared" si="1"/>
        <v>0.44230769230769229</v>
      </c>
      <c r="G30" s="209">
        <f>B30+Jan!B30</f>
        <v>0.4</v>
      </c>
      <c r="H30" s="209">
        <f>C30+Jan!C30</f>
        <v>0.41100000000000003</v>
      </c>
      <c r="I30" s="210">
        <f>D30+Jan!D30</f>
        <v>0.438</v>
      </c>
      <c r="J30" s="64">
        <f t="shared" si="2"/>
        <v>-2.676399026763987E-2</v>
      </c>
      <c r="K30" s="65">
        <f t="shared" si="3"/>
        <v>-8.6757990867579848E-2</v>
      </c>
    </row>
    <row r="31" spans="1:11">
      <c r="A31" s="6" t="s">
        <v>24</v>
      </c>
      <c r="B31" s="203">
        <v>0.4</v>
      </c>
      <c r="C31" s="204">
        <v>0.22900000000000001</v>
      </c>
      <c r="D31" s="205">
        <v>0.152</v>
      </c>
      <c r="E31" s="73">
        <f t="shared" si="0"/>
        <v>0.7467248908296944</v>
      </c>
      <c r="F31" s="71">
        <f t="shared" si="1"/>
        <v>1.6315789473684212</v>
      </c>
      <c r="G31" s="209">
        <f>B31+Jan!B31</f>
        <v>0.5</v>
      </c>
      <c r="H31" s="209">
        <f>C31+Jan!C31</f>
        <v>0.34799999999999998</v>
      </c>
      <c r="I31" s="210">
        <f>D31+Jan!D31</f>
        <v>0.39100000000000001</v>
      </c>
      <c r="J31" s="64">
        <f t="shared" si="2"/>
        <v>0.43678160919540243</v>
      </c>
      <c r="K31" s="65">
        <f t="shared" si="3"/>
        <v>0.27877237851662406</v>
      </c>
    </row>
    <row r="32" spans="1:11">
      <c r="A32" s="6" t="s">
        <v>25</v>
      </c>
      <c r="B32" s="203">
        <v>0.1</v>
      </c>
      <c r="C32" s="204">
        <v>0.28899999999999998</v>
      </c>
      <c r="D32" s="205">
        <v>0.13100000000000001</v>
      </c>
      <c r="E32" s="73">
        <f t="shared" si="0"/>
        <v>-0.65397923875432529</v>
      </c>
      <c r="F32" s="71">
        <f t="shared" si="1"/>
        <v>-0.23664122137404575</v>
      </c>
      <c r="G32" s="209">
        <f>B32+Jan!B32</f>
        <v>0.2</v>
      </c>
      <c r="H32" s="209">
        <f>C32+Jan!C32</f>
        <v>0.41299999999999998</v>
      </c>
      <c r="I32" s="210">
        <f>D32+Jan!D32</f>
        <v>0.22800000000000001</v>
      </c>
      <c r="J32" s="64">
        <f t="shared" si="2"/>
        <v>-0.51573849878934619</v>
      </c>
      <c r="K32" s="65">
        <f t="shared" si="3"/>
        <v>-0.12280701754385959</v>
      </c>
    </row>
    <row r="33" spans="1:11">
      <c r="A33" s="7" t="s">
        <v>19</v>
      </c>
      <c r="B33" s="203">
        <v>0.8</v>
      </c>
      <c r="C33" s="204">
        <v>0.68899999999999995</v>
      </c>
      <c r="D33" s="205">
        <v>0.79600000000000004</v>
      </c>
      <c r="E33" s="73">
        <f t="shared" si="0"/>
        <v>0.16110304789550089</v>
      </c>
      <c r="F33" s="71">
        <f t="shared" si="1"/>
        <v>5.0251256281406143E-3</v>
      </c>
      <c r="G33" s="209">
        <f>B33+Jan!B33</f>
        <v>2.1</v>
      </c>
      <c r="H33" s="209">
        <f>C33+Jan!C33</f>
        <v>1.6359999999999999</v>
      </c>
      <c r="I33" s="210">
        <f>D33+Jan!D33</f>
        <v>1.5489999999999999</v>
      </c>
      <c r="J33" s="64">
        <f t="shared" si="2"/>
        <v>0.28361858190709066</v>
      </c>
      <c r="K33" s="65">
        <f t="shared" si="3"/>
        <v>0.35571336346029714</v>
      </c>
    </row>
    <row r="34" spans="1:11">
      <c r="A34" s="2"/>
      <c r="B34" s="203"/>
      <c r="C34" s="204"/>
      <c r="D34" s="205"/>
      <c r="E34" s="73"/>
      <c r="F34" s="71"/>
      <c r="G34" s="209"/>
      <c r="H34" s="209"/>
      <c r="I34" s="210">
        <f>D34+Jan!D34</f>
        <v>0</v>
      </c>
      <c r="J34" s="64"/>
      <c r="K34" s="65"/>
    </row>
    <row r="35" spans="1:11">
      <c r="A35" s="7" t="s">
        <v>26</v>
      </c>
      <c r="B35" s="203">
        <v>136.5</v>
      </c>
      <c r="C35" s="204">
        <v>112.753</v>
      </c>
      <c r="D35" s="205">
        <v>113.26600000000001</v>
      </c>
      <c r="E35" s="73">
        <f t="shared" si="0"/>
        <v>0.21061080414711797</v>
      </c>
      <c r="F35" s="71">
        <f t="shared" si="1"/>
        <v>0.20512775237052594</v>
      </c>
      <c r="G35" s="209">
        <f>B35+Jan!B35</f>
        <v>244.6</v>
      </c>
      <c r="H35" s="209">
        <f>C35+Jan!C35</f>
        <v>198.185</v>
      </c>
      <c r="I35" s="210">
        <f>D35+Jan!D35</f>
        <v>205.51600000000002</v>
      </c>
      <c r="J35" s="64">
        <f t="shared" si="2"/>
        <v>0.23420036834271007</v>
      </c>
      <c r="K35" s="65">
        <f t="shared" si="3"/>
        <v>0.19017497421125351</v>
      </c>
    </row>
    <row r="36" spans="1:11">
      <c r="A36" s="7" t="s">
        <v>27</v>
      </c>
      <c r="B36" s="203">
        <v>5.6</v>
      </c>
      <c r="C36" s="204">
        <v>5.1989999999999998</v>
      </c>
      <c r="D36" s="205">
        <v>4.851</v>
      </c>
      <c r="E36" s="73">
        <f t="shared" si="0"/>
        <v>7.7130217349490326E-2</v>
      </c>
      <c r="F36" s="71">
        <f t="shared" si="1"/>
        <v>0.15440115440115432</v>
      </c>
      <c r="G36" s="209">
        <f>B36+Jan!B36</f>
        <v>9.3999999999999986</v>
      </c>
      <c r="H36" s="209">
        <f>C36+Jan!C36</f>
        <v>8.8170000000000002</v>
      </c>
      <c r="I36" s="210">
        <f>D36+Jan!D36</f>
        <v>7.766</v>
      </c>
      <c r="J36" s="64">
        <f t="shared" si="2"/>
        <v>6.6122263808551462E-2</v>
      </c>
      <c r="K36" s="65">
        <f t="shared" si="3"/>
        <v>0.2104043265516351</v>
      </c>
    </row>
    <row r="37" spans="1:11">
      <c r="A37" s="7" t="s">
        <v>28</v>
      </c>
      <c r="B37" s="203">
        <v>1.6</v>
      </c>
      <c r="C37" s="204">
        <v>1.327</v>
      </c>
      <c r="D37" s="205">
        <v>0.88900000000000001</v>
      </c>
      <c r="E37" s="73">
        <f t="shared" si="0"/>
        <v>0.20572720422004531</v>
      </c>
      <c r="F37" s="71">
        <f t="shared" si="1"/>
        <v>0.79977502812148482</v>
      </c>
      <c r="G37" s="209">
        <f>B37+Jan!B37</f>
        <v>2.7</v>
      </c>
      <c r="H37" s="209">
        <f>C37+Jan!C37</f>
        <v>2.25</v>
      </c>
      <c r="I37" s="210">
        <f>D37+Jan!D37</f>
        <v>1.3049999999999999</v>
      </c>
      <c r="J37" s="64">
        <f t="shared" si="2"/>
        <v>0.20000000000000018</v>
      </c>
      <c r="K37" s="65">
        <f t="shared" si="3"/>
        <v>1.0689655172413794</v>
      </c>
    </row>
    <row r="38" spans="1:11">
      <c r="A38" s="7" t="s">
        <v>29</v>
      </c>
      <c r="B38" s="203">
        <v>1.5</v>
      </c>
      <c r="C38" s="204">
        <v>1.1930000000000001</v>
      </c>
      <c r="D38" s="205">
        <v>1.5309999999999999</v>
      </c>
      <c r="E38" s="73">
        <f t="shared" si="0"/>
        <v>0.25733445096395635</v>
      </c>
      <c r="F38" s="71">
        <f t="shared" si="1"/>
        <v>-2.0248203788373553E-2</v>
      </c>
      <c r="G38" s="209">
        <f>B38+Jan!B38</f>
        <v>2.6</v>
      </c>
      <c r="H38" s="209">
        <f>C38+Jan!C38</f>
        <v>2.1920000000000002</v>
      </c>
      <c r="I38" s="210">
        <f>D38+Jan!D38</f>
        <v>2.61</v>
      </c>
      <c r="J38" s="64">
        <f t="shared" si="2"/>
        <v>0.18613138686131392</v>
      </c>
      <c r="K38" s="65">
        <f t="shared" si="3"/>
        <v>-3.8314176245209941E-3</v>
      </c>
    </row>
    <row r="39" spans="1:11">
      <c r="A39" s="7" t="s">
        <v>30</v>
      </c>
      <c r="B39" s="203">
        <v>0.9</v>
      </c>
      <c r="C39" s="204">
        <v>0.91700000000000004</v>
      </c>
      <c r="D39" s="205">
        <v>0.91800000000000004</v>
      </c>
      <c r="E39" s="73">
        <f t="shared" si="0"/>
        <v>-1.8538713195201728E-2</v>
      </c>
      <c r="F39" s="71">
        <f t="shared" si="1"/>
        <v>-1.9607843137254943E-2</v>
      </c>
      <c r="G39" s="209">
        <f>B39+Jan!B39</f>
        <v>1.4</v>
      </c>
      <c r="H39" s="209">
        <f>C39+Jan!C39</f>
        <v>1.3360000000000001</v>
      </c>
      <c r="I39" s="210">
        <f>D39+Jan!D39</f>
        <v>1.4180000000000001</v>
      </c>
      <c r="J39" s="64">
        <f t="shared" si="2"/>
        <v>4.7904191616766401E-2</v>
      </c>
      <c r="K39" s="65">
        <f t="shared" si="3"/>
        <v>-1.2693935119887367E-2</v>
      </c>
    </row>
    <row r="40" spans="1:11">
      <c r="A40" s="7" t="s">
        <v>31</v>
      </c>
      <c r="B40" s="203">
        <v>1.6</v>
      </c>
      <c r="C40" s="204">
        <v>1.72</v>
      </c>
      <c r="D40" s="205">
        <v>1.4770000000000001</v>
      </c>
      <c r="E40" s="73">
        <f t="shared" si="0"/>
        <v>-6.9767441860465018E-2</v>
      </c>
      <c r="F40" s="71">
        <f t="shared" si="1"/>
        <v>8.3276912660798841E-2</v>
      </c>
      <c r="G40" s="209">
        <f>B40+Jan!B40</f>
        <v>2.7</v>
      </c>
      <c r="H40" s="209">
        <f>C40+Jan!C40</f>
        <v>2.9670000000000001</v>
      </c>
      <c r="I40" s="210">
        <f>D40+Jan!D40</f>
        <v>2.3680000000000003</v>
      </c>
      <c r="J40" s="64">
        <f t="shared" si="2"/>
        <v>-8.9989888776541904E-2</v>
      </c>
      <c r="K40" s="65">
        <f t="shared" si="3"/>
        <v>0.14020270270270263</v>
      </c>
    </row>
    <row r="41" spans="1:11">
      <c r="A41" s="7" t="s">
        <v>32</v>
      </c>
      <c r="B41" s="203">
        <v>13.2</v>
      </c>
      <c r="C41" s="204">
        <v>11.813000000000001</v>
      </c>
      <c r="D41" s="205">
        <v>11.178000000000001</v>
      </c>
      <c r="E41" s="73">
        <f t="shared" si="0"/>
        <v>0.11741301955472783</v>
      </c>
      <c r="F41" s="71">
        <f t="shared" si="1"/>
        <v>0.18089103596349965</v>
      </c>
      <c r="G41" s="209">
        <f>B41+Jan!B41</f>
        <v>22.9</v>
      </c>
      <c r="H41" s="209">
        <f>C41+Jan!C41</f>
        <v>20.398000000000003</v>
      </c>
      <c r="I41" s="210">
        <f>D41+Jan!D41</f>
        <v>19.890999999999998</v>
      </c>
      <c r="J41" s="64">
        <f t="shared" si="2"/>
        <v>0.12265908422394323</v>
      </c>
      <c r="K41" s="65">
        <f t="shared" si="3"/>
        <v>0.15127444572922433</v>
      </c>
    </row>
    <row r="42" spans="1:11">
      <c r="A42" s="7" t="s">
        <v>33</v>
      </c>
      <c r="B42" s="203">
        <v>0.6</v>
      </c>
      <c r="C42" s="204">
        <v>0.57699999999999996</v>
      </c>
      <c r="D42" s="205">
        <v>0.52800000000000002</v>
      </c>
      <c r="E42" s="73">
        <f t="shared" si="0"/>
        <v>3.9861351819757473E-2</v>
      </c>
      <c r="F42" s="71">
        <f t="shared" si="1"/>
        <v>0.13636363636363624</v>
      </c>
      <c r="G42" s="209">
        <f>B42+Jan!B42</f>
        <v>1.2</v>
      </c>
      <c r="H42" s="209">
        <f>C42+Jan!C42</f>
        <v>1.1099999999999999</v>
      </c>
      <c r="I42" s="210">
        <f>D42+Jan!D42</f>
        <v>0.9890000000000001</v>
      </c>
      <c r="J42" s="64">
        <f t="shared" si="2"/>
        <v>8.1081081081081141E-2</v>
      </c>
      <c r="K42" s="65">
        <f t="shared" si="3"/>
        <v>0.2133468149646105</v>
      </c>
    </row>
    <row r="43" spans="1:11">
      <c r="A43" s="7" t="s">
        <v>34</v>
      </c>
      <c r="B43" s="203">
        <v>4.5</v>
      </c>
      <c r="C43" s="204">
        <v>3.456</v>
      </c>
      <c r="D43" s="205">
        <v>3.508</v>
      </c>
      <c r="E43" s="73">
        <f t="shared" si="0"/>
        <v>0.30208333333333326</v>
      </c>
      <c r="F43" s="71">
        <f t="shared" si="1"/>
        <v>0.28278221208665899</v>
      </c>
      <c r="G43" s="209">
        <f>B43+Jan!B43</f>
        <v>7.4</v>
      </c>
      <c r="H43" s="209">
        <f>C43+Jan!C43</f>
        <v>5.8070000000000004</v>
      </c>
      <c r="I43" s="210">
        <f>D43+Jan!D43</f>
        <v>6.0750000000000002</v>
      </c>
      <c r="J43" s="64">
        <f t="shared" si="2"/>
        <v>0.27432409161356985</v>
      </c>
      <c r="K43" s="65">
        <f t="shared" si="3"/>
        <v>0.21810699588477367</v>
      </c>
    </row>
    <row r="44" spans="1:11">
      <c r="A44" s="7" t="s">
        <v>35</v>
      </c>
      <c r="B44" s="203">
        <v>2.6</v>
      </c>
      <c r="C44" s="204">
        <v>2.3450000000000002</v>
      </c>
      <c r="D44" s="205">
        <v>2.2069999999999999</v>
      </c>
      <c r="E44" s="73">
        <f t="shared" si="0"/>
        <v>0.10874200426439229</v>
      </c>
      <c r="F44" s="71">
        <f t="shared" si="1"/>
        <v>0.17806977797915735</v>
      </c>
      <c r="G44" s="209">
        <f>B44+Jan!B44</f>
        <v>4.4000000000000004</v>
      </c>
      <c r="H44" s="209">
        <f>C44+Jan!C44</f>
        <v>4.0289999999999999</v>
      </c>
      <c r="I44" s="210">
        <f>D44+Jan!D44</f>
        <v>3.8010000000000002</v>
      </c>
      <c r="J44" s="64">
        <f t="shared" si="2"/>
        <v>9.208240258128586E-2</v>
      </c>
      <c r="K44" s="65">
        <f t="shared" si="3"/>
        <v>0.15759010786635108</v>
      </c>
    </row>
    <row r="45" spans="1:11">
      <c r="A45" s="6" t="s">
        <v>36</v>
      </c>
      <c r="B45" s="203">
        <v>21.5</v>
      </c>
      <c r="C45" s="204">
        <v>21.145</v>
      </c>
      <c r="D45" s="205">
        <v>21.263000000000002</v>
      </c>
      <c r="E45" s="73">
        <f t="shared" si="0"/>
        <v>1.678883896902339E-2</v>
      </c>
      <c r="F45" s="71">
        <f t="shared" si="1"/>
        <v>1.114612237219581E-2</v>
      </c>
      <c r="G45" s="209">
        <f>B45+Jan!B45</f>
        <v>34.200000000000003</v>
      </c>
      <c r="H45" s="209">
        <f>C45+Jan!C45</f>
        <v>32.872999999999998</v>
      </c>
      <c r="I45" s="210">
        <f>D45+Jan!D45</f>
        <v>32.145000000000003</v>
      </c>
      <c r="J45" s="64">
        <f t="shared" si="2"/>
        <v>4.0367474827366134E-2</v>
      </c>
      <c r="K45" s="65">
        <f t="shared" si="3"/>
        <v>6.3929071395240289E-2</v>
      </c>
    </row>
    <row r="46" spans="1:11">
      <c r="A46" s="6" t="s">
        <v>37</v>
      </c>
      <c r="B46" s="203">
        <v>5.8</v>
      </c>
      <c r="C46" s="204">
        <v>4.6289999999999996</v>
      </c>
      <c r="D46" s="205">
        <v>5.6689999999999996</v>
      </c>
      <c r="E46" s="73">
        <f t="shared" si="0"/>
        <v>0.25297040397494075</v>
      </c>
      <c r="F46" s="71">
        <f t="shared" si="1"/>
        <v>2.3108131945669408E-2</v>
      </c>
      <c r="G46" s="209">
        <f>B46+Jan!B46</f>
        <v>12.2</v>
      </c>
      <c r="H46" s="209">
        <f>C46+Jan!C46</f>
        <v>8.9879999999999995</v>
      </c>
      <c r="I46" s="210">
        <f>D46+Jan!D46</f>
        <v>11.808</v>
      </c>
      <c r="J46" s="64">
        <f t="shared" si="2"/>
        <v>0.35736537605696483</v>
      </c>
      <c r="K46" s="65">
        <f t="shared" si="3"/>
        <v>3.3197831978319714E-2</v>
      </c>
    </row>
    <row r="47" spans="1:11">
      <c r="A47" s="7" t="s">
        <v>38</v>
      </c>
      <c r="B47" s="203">
        <v>3.3</v>
      </c>
      <c r="C47" s="204">
        <v>2.9809999999999999</v>
      </c>
      <c r="D47" s="205">
        <v>2.569</v>
      </c>
      <c r="E47" s="73">
        <f t="shared" si="0"/>
        <v>0.10701107011070099</v>
      </c>
      <c r="F47" s="71">
        <f t="shared" si="1"/>
        <v>0.28454651615414561</v>
      </c>
      <c r="G47" s="209">
        <f>B47+Jan!B47</f>
        <v>5.6</v>
      </c>
      <c r="H47" s="209">
        <f>C47+Jan!C47</f>
        <v>4.9399999999999995</v>
      </c>
      <c r="I47" s="210">
        <f>D47+Jan!D47</f>
        <v>4.37</v>
      </c>
      <c r="J47" s="64">
        <f t="shared" si="2"/>
        <v>0.1336032388663968</v>
      </c>
      <c r="K47" s="65">
        <f t="shared" si="3"/>
        <v>0.28146453089244838</v>
      </c>
    </row>
    <row r="48" spans="1:11">
      <c r="A48" s="7" t="s">
        <v>39</v>
      </c>
      <c r="B48" s="203">
        <v>15.2</v>
      </c>
      <c r="C48" s="204">
        <v>11.862</v>
      </c>
      <c r="D48" s="205">
        <v>11.87</v>
      </c>
      <c r="E48" s="73">
        <f t="shared" si="0"/>
        <v>0.28140279885348174</v>
      </c>
      <c r="F48" s="71">
        <f t="shared" si="1"/>
        <v>0.28053917438921649</v>
      </c>
      <c r="G48" s="209">
        <f>B48+Jan!B48</f>
        <v>24.5</v>
      </c>
      <c r="H48" s="209">
        <f>C48+Jan!C48</f>
        <v>19.115000000000002</v>
      </c>
      <c r="I48" s="210">
        <f>D48+Jan!D48</f>
        <v>18.869999999999997</v>
      </c>
      <c r="J48" s="64">
        <f t="shared" si="2"/>
        <v>0.28171592989798566</v>
      </c>
      <c r="K48" s="65">
        <f t="shared" si="3"/>
        <v>0.29835718071012196</v>
      </c>
    </row>
    <row r="49" spans="1:11">
      <c r="A49" s="7" t="s">
        <v>40</v>
      </c>
      <c r="B49" s="203">
        <v>3</v>
      </c>
      <c r="C49" s="204">
        <v>2.1619999999999999</v>
      </c>
      <c r="D49" s="205">
        <v>2.1469999999999998</v>
      </c>
      <c r="E49" s="73">
        <f t="shared" si="0"/>
        <v>0.387604070305273</v>
      </c>
      <c r="F49" s="71">
        <f t="shared" si="1"/>
        <v>0.39729855612482545</v>
      </c>
      <c r="G49" s="209">
        <f>B49+Jan!B49</f>
        <v>4.4000000000000004</v>
      </c>
      <c r="H49" s="209">
        <f>C49+Jan!C49</f>
        <v>3.4829999999999997</v>
      </c>
      <c r="I49" s="210">
        <f>D49+Jan!D49</f>
        <v>3.4049999999999998</v>
      </c>
      <c r="J49" s="64">
        <f t="shared" si="2"/>
        <v>0.26327878265862781</v>
      </c>
      <c r="K49" s="65">
        <f t="shared" si="3"/>
        <v>0.29221732745961848</v>
      </c>
    </row>
    <row r="50" spans="1:11">
      <c r="A50" s="6" t="s">
        <v>41</v>
      </c>
      <c r="B50" s="203">
        <v>3.6</v>
      </c>
      <c r="C50" s="204">
        <v>2.8239999999999998</v>
      </c>
      <c r="D50" s="205">
        <v>2.617</v>
      </c>
      <c r="E50" s="73">
        <f t="shared" si="0"/>
        <v>0.27478753541076495</v>
      </c>
      <c r="F50" s="71">
        <f t="shared" si="1"/>
        <v>0.37562094000764246</v>
      </c>
      <c r="G50" s="209">
        <f>B50+Jan!B50</f>
        <v>6.4</v>
      </c>
      <c r="H50" s="209">
        <f>C50+Jan!C50</f>
        <v>5.282</v>
      </c>
      <c r="I50" s="210">
        <f>D50+Jan!D50</f>
        <v>5.1400000000000006</v>
      </c>
      <c r="J50" s="64">
        <f t="shared" si="2"/>
        <v>0.21166224914804999</v>
      </c>
      <c r="K50" s="65">
        <f t="shared" si="3"/>
        <v>0.24513618677042803</v>
      </c>
    </row>
    <row r="51" spans="1:11">
      <c r="A51" s="7" t="s">
        <v>42</v>
      </c>
      <c r="B51" s="203">
        <v>0.7</v>
      </c>
      <c r="C51" s="204">
        <v>0.60499999999999998</v>
      </c>
      <c r="D51" s="205">
        <v>1.0049999999999999</v>
      </c>
      <c r="E51" s="73">
        <f t="shared" si="0"/>
        <v>0.15702479338842967</v>
      </c>
      <c r="F51" s="71">
        <f t="shared" si="1"/>
        <v>-0.30348258706467657</v>
      </c>
      <c r="G51" s="209">
        <f>B51+Jan!B51</f>
        <v>1.2999999999999998</v>
      </c>
      <c r="H51" s="209">
        <f>C51+Jan!C51</f>
        <v>1.157</v>
      </c>
      <c r="I51" s="210">
        <f>D51+Jan!D51</f>
        <v>1.399</v>
      </c>
      <c r="J51" s="64">
        <f t="shared" si="2"/>
        <v>0.12359550561797739</v>
      </c>
      <c r="K51" s="65">
        <f t="shared" si="3"/>
        <v>-7.0764832022873647E-2</v>
      </c>
    </row>
    <row r="52" spans="1:11">
      <c r="A52" s="7"/>
      <c r="B52" s="203"/>
      <c r="C52" s="204"/>
      <c r="D52" s="205"/>
      <c r="E52" s="73"/>
      <c r="F52" s="71"/>
      <c r="G52" s="209"/>
      <c r="H52" s="209"/>
      <c r="I52" s="210">
        <f>D52+Jan!D52</f>
        <v>0</v>
      </c>
      <c r="J52" s="64"/>
      <c r="K52" s="65"/>
    </row>
    <row r="53" spans="1:11">
      <c r="A53" s="7" t="s">
        <v>43</v>
      </c>
      <c r="B53" s="203">
        <v>32.799999999999997</v>
      </c>
      <c r="C53" s="204">
        <v>22.521000000000001</v>
      </c>
      <c r="D53" s="205">
        <v>25.103000000000002</v>
      </c>
      <c r="E53" s="73">
        <f t="shared" si="0"/>
        <v>0.4564184538874827</v>
      </c>
      <c r="F53" s="71">
        <f t="shared" si="1"/>
        <v>0.30661673903517483</v>
      </c>
      <c r="G53" s="209">
        <f>B53+Jan!B53</f>
        <v>64.3</v>
      </c>
      <c r="H53" s="209">
        <f>C53+Jan!C53</f>
        <v>47.930999999999997</v>
      </c>
      <c r="I53" s="210">
        <f>D53+Jan!D53</f>
        <v>57.581000000000003</v>
      </c>
      <c r="J53" s="64">
        <f t="shared" si="2"/>
        <v>0.34151175648327814</v>
      </c>
      <c r="K53" s="65">
        <f t="shared" si="3"/>
        <v>0.11668779632170323</v>
      </c>
    </row>
    <row r="54" spans="1:11">
      <c r="A54" s="7" t="s">
        <v>44</v>
      </c>
      <c r="B54" s="203">
        <v>20.9</v>
      </c>
      <c r="C54" s="204">
        <v>13.615</v>
      </c>
      <c r="D54" s="205">
        <v>16.933</v>
      </c>
      <c r="E54" s="73">
        <f t="shared" si="0"/>
        <v>0.5350716121924346</v>
      </c>
      <c r="F54" s="71">
        <f t="shared" si="1"/>
        <v>0.23427626528081258</v>
      </c>
      <c r="G54" s="209">
        <f>B54+Jan!B54</f>
        <v>40.5</v>
      </c>
      <c r="H54" s="209">
        <f>C54+Jan!C54</f>
        <v>29.576000000000001</v>
      </c>
      <c r="I54" s="210">
        <f>D54+Jan!D54</f>
        <v>39.817</v>
      </c>
      <c r="J54" s="64">
        <f t="shared" si="2"/>
        <v>0.36935352988909931</v>
      </c>
      <c r="K54" s="65">
        <f t="shared" si="3"/>
        <v>1.7153477157997754E-2</v>
      </c>
    </row>
    <row r="55" spans="1:11">
      <c r="A55" s="7" t="s">
        <v>45</v>
      </c>
      <c r="B55" s="203">
        <v>9.1999999999999993</v>
      </c>
      <c r="C55" s="204">
        <v>6.9809999999999999</v>
      </c>
      <c r="D55" s="205">
        <v>6.149</v>
      </c>
      <c r="E55" s="73">
        <f t="shared" si="0"/>
        <v>0.31786277037673671</v>
      </c>
      <c r="F55" s="71">
        <f t="shared" si="1"/>
        <v>0.4961782403642867</v>
      </c>
      <c r="G55" s="209">
        <f>B55+Jan!B55</f>
        <v>18.100000000000001</v>
      </c>
      <c r="H55" s="209">
        <f>C55+Jan!C55</f>
        <v>14.198</v>
      </c>
      <c r="I55" s="210">
        <f>D55+Jan!D55</f>
        <v>13.516</v>
      </c>
      <c r="J55" s="64">
        <f t="shared" si="2"/>
        <v>0.27482744048457541</v>
      </c>
      <c r="K55" s="65">
        <f t="shared" si="3"/>
        <v>0.33915359573838422</v>
      </c>
    </row>
    <row r="56" spans="1:11">
      <c r="A56" s="7" t="s">
        <v>46</v>
      </c>
      <c r="B56" s="203">
        <v>1.2</v>
      </c>
      <c r="C56" s="204">
        <v>0.99099999999999999</v>
      </c>
      <c r="D56" s="205">
        <v>0.877</v>
      </c>
      <c r="E56" s="73">
        <f t="shared" si="0"/>
        <v>0.21089808274470223</v>
      </c>
      <c r="F56" s="71">
        <f t="shared" si="1"/>
        <v>0.36830102622576955</v>
      </c>
      <c r="G56" s="209">
        <f>B56+Jan!B56</f>
        <v>2.5</v>
      </c>
      <c r="H56" s="209">
        <f>C56+Jan!C56</f>
        <v>2.1429999999999998</v>
      </c>
      <c r="I56" s="210">
        <f>D56+Jan!D56</f>
        <v>1.6720000000000002</v>
      </c>
      <c r="J56" s="64">
        <f t="shared" si="2"/>
        <v>0.16658889407372857</v>
      </c>
      <c r="K56" s="65">
        <f t="shared" si="3"/>
        <v>0.49521531100478455</v>
      </c>
    </row>
    <row r="57" spans="1:11">
      <c r="A57" s="7" t="s">
        <v>47</v>
      </c>
      <c r="B57" s="203">
        <v>0.6</v>
      </c>
      <c r="C57" s="204">
        <v>0.40699999999999997</v>
      </c>
      <c r="D57" s="205">
        <v>0.39800000000000002</v>
      </c>
      <c r="E57" s="73">
        <f t="shared" si="0"/>
        <v>0.47420147420147418</v>
      </c>
      <c r="F57" s="71">
        <f t="shared" si="1"/>
        <v>0.50753768844221092</v>
      </c>
      <c r="G57" s="209">
        <f>B57+Jan!B57</f>
        <v>1.2</v>
      </c>
      <c r="H57" s="209">
        <f>C57+Jan!C57</f>
        <v>0.79200000000000004</v>
      </c>
      <c r="I57" s="210">
        <f>D57+Jan!D57</f>
        <v>0.89500000000000002</v>
      </c>
      <c r="J57" s="64">
        <f t="shared" si="2"/>
        <v>0.51515151515151492</v>
      </c>
      <c r="K57" s="65">
        <f t="shared" si="3"/>
        <v>0.34078212290502785</v>
      </c>
    </row>
    <row r="58" spans="1:11">
      <c r="A58" s="164" t="s">
        <v>48</v>
      </c>
      <c r="B58" s="203">
        <v>0.2</v>
      </c>
      <c r="C58" s="204">
        <v>0.24099999999999999</v>
      </c>
      <c r="D58" s="205">
        <v>0.21099999999999999</v>
      </c>
      <c r="E58" s="73">
        <f t="shared" si="0"/>
        <v>-0.17012448132780078</v>
      </c>
      <c r="F58" s="71">
        <f t="shared" si="1"/>
        <v>-5.213270142180082E-2</v>
      </c>
      <c r="G58" s="209">
        <f>B58+Jan!B58</f>
        <v>0.4</v>
      </c>
      <c r="H58" s="209">
        <f>C58+Jan!C58</f>
        <v>0.441</v>
      </c>
      <c r="I58" s="210">
        <f>D58+Jan!D58</f>
        <v>0.41200000000000003</v>
      </c>
      <c r="J58" s="64">
        <f t="shared" si="2"/>
        <v>-9.2970521541950069E-2</v>
      </c>
      <c r="K58" s="65">
        <f t="shared" si="3"/>
        <v>-2.9126213592232997E-2</v>
      </c>
    </row>
    <row r="59" spans="1:11">
      <c r="A59" s="164" t="s">
        <v>87</v>
      </c>
      <c r="B59" s="203">
        <v>0.3</v>
      </c>
      <c r="C59" s="204">
        <v>0.23</v>
      </c>
      <c r="D59" s="205">
        <v>0.41899999999999998</v>
      </c>
      <c r="E59" s="73">
        <f t="shared" si="0"/>
        <v>0.30434782608695632</v>
      </c>
      <c r="F59" s="71">
        <f t="shared" si="1"/>
        <v>-0.28400954653937949</v>
      </c>
      <c r="G59" s="209">
        <f>B59+Jan!B59</f>
        <v>0.7</v>
      </c>
      <c r="H59" s="209">
        <f>C59+Jan!C59</f>
        <v>0.67200000000000004</v>
      </c>
      <c r="I59" s="210">
        <f>D59+Jan!D59</f>
        <v>1.0629999999999999</v>
      </c>
      <c r="J59" s="64">
        <f t="shared" si="2"/>
        <v>4.1666666666666519E-2</v>
      </c>
      <c r="K59" s="65">
        <f t="shared" si="3"/>
        <v>-0.34148635936030103</v>
      </c>
    </row>
    <row r="60" spans="1:11">
      <c r="A60" s="164" t="s">
        <v>49</v>
      </c>
      <c r="B60" s="203">
        <v>0.4</v>
      </c>
      <c r="C60" s="204">
        <v>5.6000000000000001E-2</v>
      </c>
      <c r="D60" s="205">
        <v>0.11600000000000001</v>
      </c>
      <c r="E60" s="73">
        <f t="shared" si="0"/>
        <v>6.1428571428571432</v>
      </c>
      <c r="F60" s="71">
        <f t="shared" si="1"/>
        <v>2.4482758620689657</v>
      </c>
      <c r="G60" s="209">
        <f>B60+Jan!B60</f>
        <v>0.9</v>
      </c>
      <c r="H60" s="209">
        <f>C60+Jan!C60</f>
        <v>0.109</v>
      </c>
      <c r="I60" s="210">
        <f>D60+Jan!D60</f>
        <v>0.20600000000000002</v>
      </c>
      <c r="J60" s="64">
        <f t="shared" si="2"/>
        <v>7.2568807339449535</v>
      </c>
      <c r="K60" s="65">
        <f t="shared" si="3"/>
        <v>3.3689320388349513</v>
      </c>
    </row>
    <row r="61" spans="1:11">
      <c r="A61" s="165"/>
      <c r="B61" s="203"/>
      <c r="C61" s="204"/>
      <c r="D61" s="205"/>
      <c r="E61" s="73"/>
      <c r="F61" s="71"/>
      <c r="G61" s="209"/>
      <c r="H61" s="209"/>
      <c r="I61" s="210">
        <f>D61+Jan!D61</f>
        <v>0</v>
      </c>
      <c r="J61" s="64"/>
      <c r="K61" s="65"/>
    </row>
    <row r="62" spans="1:11">
      <c r="A62" s="164" t="s">
        <v>50</v>
      </c>
      <c r="B62" s="203">
        <v>1.2</v>
      </c>
      <c r="C62" s="204">
        <v>0.91500000000000004</v>
      </c>
      <c r="D62" s="205">
        <v>0.64600000000000002</v>
      </c>
      <c r="E62" s="73">
        <f t="shared" si="0"/>
        <v>0.31147540983606548</v>
      </c>
      <c r="F62" s="71">
        <f t="shared" si="1"/>
        <v>0.85758513931888536</v>
      </c>
      <c r="G62" s="209">
        <f>B62+Jan!B62</f>
        <v>2.5999999999999996</v>
      </c>
      <c r="H62" s="209">
        <f>C62+Jan!C62</f>
        <v>1.9650000000000001</v>
      </c>
      <c r="I62" s="210">
        <f>D62+Jan!D62</f>
        <v>1.4460000000000002</v>
      </c>
      <c r="J62" s="64">
        <f t="shared" si="2"/>
        <v>0.32315521628498711</v>
      </c>
      <c r="K62" s="65">
        <f t="shared" si="3"/>
        <v>0.79806362378976448</v>
      </c>
    </row>
    <row r="63" spans="1:11">
      <c r="A63" s="7" t="s">
        <v>51</v>
      </c>
      <c r="B63" s="203">
        <v>0.4</v>
      </c>
      <c r="C63" s="204">
        <v>0.36899999999999999</v>
      </c>
      <c r="D63" s="205">
        <v>0.214</v>
      </c>
      <c r="E63" s="73">
        <f t="shared" si="0"/>
        <v>8.4010840108401208E-2</v>
      </c>
      <c r="F63" s="71">
        <f t="shared" si="1"/>
        <v>0.8691588785046731</v>
      </c>
      <c r="G63" s="209">
        <f>B63+Jan!B63</f>
        <v>0.60000000000000009</v>
      </c>
      <c r="H63" s="209">
        <f>C63+Jan!C63</f>
        <v>0.52900000000000003</v>
      </c>
      <c r="I63" s="210">
        <f>D63+Jan!D63</f>
        <v>0.33299999999999996</v>
      </c>
      <c r="J63" s="64">
        <f t="shared" si="2"/>
        <v>0.13421550094517976</v>
      </c>
      <c r="K63" s="65">
        <f t="shared" si="3"/>
        <v>0.80180180180180227</v>
      </c>
    </row>
    <row r="64" spans="1:11">
      <c r="A64" s="7" t="s">
        <v>52</v>
      </c>
      <c r="B64" s="203">
        <v>2.1</v>
      </c>
      <c r="C64" s="204">
        <v>1.7270000000000001</v>
      </c>
      <c r="D64" s="205">
        <v>0.85099999999999998</v>
      </c>
      <c r="E64" s="73">
        <f t="shared" si="0"/>
        <v>0.21598147075854079</v>
      </c>
      <c r="F64" s="71">
        <f t="shared" si="1"/>
        <v>1.4676850763807288</v>
      </c>
      <c r="G64" s="209">
        <f>B64+Jan!B64</f>
        <v>3.7</v>
      </c>
      <c r="H64" s="209">
        <f>C64+Jan!C64</f>
        <v>3.0019999999999998</v>
      </c>
      <c r="I64" s="210">
        <f>D64+Jan!D64</f>
        <v>1.403</v>
      </c>
      <c r="J64" s="64">
        <f t="shared" si="2"/>
        <v>0.23251165889407077</v>
      </c>
      <c r="K64" s="65">
        <f t="shared" si="3"/>
        <v>1.6372059871703493</v>
      </c>
    </row>
    <row r="65" spans="1:11">
      <c r="A65" s="7" t="s">
        <v>53</v>
      </c>
      <c r="B65" s="203">
        <v>0.9</v>
      </c>
      <c r="C65" s="204">
        <v>0.443</v>
      </c>
      <c r="D65" s="205">
        <v>0.28100000000000003</v>
      </c>
      <c r="E65" s="73">
        <f t="shared" si="0"/>
        <v>1.0316027088036117</v>
      </c>
      <c r="F65" s="71">
        <f t="shared" si="1"/>
        <v>2.2028469750889679</v>
      </c>
      <c r="G65" s="209">
        <f>B65+Jan!B65</f>
        <v>1.7000000000000002</v>
      </c>
      <c r="H65" s="209">
        <f>C65+Jan!C65</f>
        <v>0.81699999999999995</v>
      </c>
      <c r="I65" s="210">
        <f>D65+Jan!D65</f>
        <v>0.56499999999999995</v>
      </c>
      <c r="J65" s="64">
        <f t="shared" si="2"/>
        <v>1.0807833537331706</v>
      </c>
      <c r="K65" s="65">
        <f t="shared" si="3"/>
        <v>2.0088495575221246</v>
      </c>
    </row>
    <row r="66" spans="1:11">
      <c r="A66" s="2"/>
      <c r="B66" s="203"/>
      <c r="C66" s="204"/>
      <c r="D66" s="205"/>
      <c r="E66" s="73"/>
      <c r="F66" s="71"/>
      <c r="G66" s="209"/>
      <c r="H66" s="209"/>
      <c r="I66" s="210">
        <f>D66+Jan!D66</f>
        <v>0</v>
      </c>
      <c r="J66" s="64"/>
      <c r="K66" s="65"/>
    </row>
    <row r="67" spans="1:11">
      <c r="A67" s="7" t="s">
        <v>54</v>
      </c>
      <c r="B67" s="203">
        <v>7.9</v>
      </c>
      <c r="C67" s="204">
        <v>7.7640000000000002</v>
      </c>
      <c r="D67" s="205">
        <v>8.6539999999999999</v>
      </c>
      <c r="E67" s="73">
        <f t="shared" si="0"/>
        <v>1.7516743946419444E-2</v>
      </c>
      <c r="F67" s="71">
        <f t="shared" si="1"/>
        <v>-8.7127339958400718E-2</v>
      </c>
      <c r="G67" s="209">
        <f>B67+Jan!B67</f>
        <v>14.8</v>
      </c>
      <c r="H67" s="209">
        <f>C67+Jan!C67</f>
        <v>11.218</v>
      </c>
      <c r="I67" s="210">
        <f>D67+Jan!D67</f>
        <v>13.052</v>
      </c>
      <c r="J67" s="64">
        <f t="shared" si="2"/>
        <v>0.31930825459083612</v>
      </c>
      <c r="K67" s="65">
        <f t="shared" si="3"/>
        <v>0.13392583512105438</v>
      </c>
    </row>
    <row r="68" spans="1:11">
      <c r="A68" s="7" t="s">
        <v>55</v>
      </c>
      <c r="B68" s="203">
        <v>1.8</v>
      </c>
      <c r="C68" s="204">
        <v>1.595</v>
      </c>
      <c r="D68" s="205">
        <v>1.518</v>
      </c>
      <c r="E68" s="73">
        <f t="shared" si="0"/>
        <v>0.12852664576802519</v>
      </c>
      <c r="F68" s="71">
        <f t="shared" si="1"/>
        <v>0.18577075098814233</v>
      </c>
      <c r="G68" s="209">
        <f>B68+Jan!B68</f>
        <v>3.2</v>
      </c>
      <c r="H68" s="209">
        <f>C68+Jan!C68</f>
        <v>2.63</v>
      </c>
      <c r="I68" s="210">
        <f>D68+Jan!D68</f>
        <v>2.4710000000000001</v>
      </c>
      <c r="J68" s="64">
        <f t="shared" si="2"/>
        <v>0.21673003802281388</v>
      </c>
      <c r="K68" s="65">
        <f t="shared" si="3"/>
        <v>0.29502225819506278</v>
      </c>
    </row>
    <row r="69" spans="1:11">
      <c r="A69" s="7" t="s">
        <v>56</v>
      </c>
      <c r="B69" s="203">
        <v>0.4</v>
      </c>
      <c r="C69" s="204">
        <v>0.39600000000000002</v>
      </c>
      <c r="D69" s="205">
        <v>0.19600000000000001</v>
      </c>
      <c r="E69" s="73">
        <f t="shared" si="0"/>
        <v>1.0101010101010166E-2</v>
      </c>
      <c r="F69" s="71">
        <f t="shared" si="1"/>
        <v>1.0408163265306123</v>
      </c>
      <c r="G69" s="209">
        <f>B69+Jan!B69</f>
        <v>0.7</v>
      </c>
      <c r="H69" s="209">
        <f>C69+Jan!C69</f>
        <v>0.625</v>
      </c>
      <c r="I69" s="210">
        <f>D69+Jan!D69</f>
        <v>0.39</v>
      </c>
      <c r="J69" s="64">
        <f t="shared" si="2"/>
        <v>0.11999999999999988</v>
      </c>
      <c r="K69" s="65">
        <f t="shared" si="3"/>
        <v>0.79487179487179471</v>
      </c>
    </row>
    <row r="70" spans="1:11">
      <c r="A70" s="7" t="s">
        <v>88</v>
      </c>
      <c r="B70" s="203">
        <v>0.3</v>
      </c>
      <c r="C70" s="204">
        <v>0.18</v>
      </c>
      <c r="D70" s="205">
        <v>0.26300000000000001</v>
      </c>
      <c r="E70" s="73">
        <f t="shared" ref="E70:E96" si="4">B70/C70-1</f>
        <v>0.66666666666666674</v>
      </c>
      <c r="F70" s="71">
        <f t="shared" ref="F70:F96" si="5">B70/D70-1</f>
        <v>0.14068441064638781</v>
      </c>
      <c r="G70" s="209">
        <f>B70+Jan!B70</f>
        <v>0.4</v>
      </c>
      <c r="H70" s="209">
        <f>C70+Jan!C70</f>
        <v>0.29699999999999999</v>
      </c>
      <c r="I70" s="210">
        <f>D70+Jan!D70</f>
        <v>0.36</v>
      </c>
      <c r="J70" s="64">
        <f t="shared" ref="J70:J96" si="6">G70/H70-1</f>
        <v>0.34680134680134689</v>
      </c>
      <c r="K70" s="65">
        <f t="shared" ref="K70:K96" si="7">G70/I70-1</f>
        <v>0.11111111111111116</v>
      </c>
    </row>
    <row r="71" spans="1:11">
      <c r="A71" s="7" t="s">
        <v>89</v>
      </c>
      <c r="B71" s="203">
        <v>0.5</v>
      </c>
      <c r="C71" s="204">
        <v>0.33200000000000002</v>
      </c>
      <c r="D71" s="205">
        <v>0.35299999999999998</v>
      </c>
      <c r="E71" s="73">
        <f t="shared" si="4"/>
        <v>0.50602409638554202</v>
      </c>
      <c r="F71" s="71">
        <f t="shared" si="5"/>
        <v>0.41643059490084999</v>
      </c>
      <c r="G71" s="209">
        <f>B71+Jan!B71</f>
        <v>1</v>
      </c>
      <c r="H71" s="209">
        <f>C71+Jan!C71</f>
        <v>0.53400000000000003</v>
      </c>
      <c r="I71" s="210">
        <f>D71+Jan!D71</f>
        <v>0.80499999999999994</v>
      </c>
      <c r="J71" s="64">
        <f t="shared" si="6"/>
        <v>0.87265917602996246</v>
      </c>
      <c r="K71" s="65">
        <f t="shared" si="7"/>
        <v>0.24223602484472062</v>
      </c>
    </row>
    <row r="72" spans="1:11">
      <c r="A72" s="7" t="s">
        <v>59</v>
      </c>
      <c r="B72" s="203">
        <v>5.0999999999999996</v>
      </c>
      <c r="C72" s="204">
        <v>3.2389999999999999</v>
      </c>
      <c r="D72" s="205">
        <v>2.5419999999999998</v>
      </c>
      <c r="E72" s="73">
        <f t="shared" si="4"/>
        <v>0.57456004939796235</v>
      </c>
      <c r="F72" s="71">
        <f t="shared" si="5"/>
        <v>1.0062942564909521</v>
      </c>
      <c r="G72" s="209">
        <f>B72+Jan!B72</f>
        <v>9.6</v>
      </c>
      <c r="H72" s="209">
        <f>C72+Jan!C72</f>
        <v>6.2569999999999997</v>
      </c>
      <c r="I72" s="210">
        <f>D72+Jan!D72</f>
        <v>5.6809999999999992</v>
      </c>
      <c r="J72" s="64">
        <f t="shared" si="6"/>
        <v>0.53428160460284491</v>
      </c>
      <c r="K72" s="65">
        <f t="shared" si="7"/>
        <v>0.68984333744059168</v>
      </c>
    </row>
    <row r="73" spans="1:11">
      <c r="A73" s="7" t="s">
        <v>60</v>
      </c>
      <c r="B73" s="203">
        <v>0.5</v>
      </c>
      <c r="C73" s="204">
        <v>0.46700000000000003</v>
      </c>
      <c r="D73" s="205">
        <v>0.42099999999999999</v>
      </c>
      <c r="E73" s="73">
        <f t="shared" si="4"/>
        <v>7.0663811563169032E-2</v>
      </c>
      <c r="F73" s="71">
        <f t="shared" si="5"/>
        <v>0.18764845605700708</v>
      </c>
      <c r="G73" s="209">
        <f>B73+Jan!B73</f>
        <v>1.1000000000000001</v>
      </c>
      <c r="H73" s="209">
        <f>C73+Jan!C73</f>
        <v>0.876</v>
      </c>
      <c r="I73" s="210">
        <f>D73+Jan!D73</f>
        <v>0.86799999999999999</v>
      </c>
      <c r="J73" s="64">
        <f t="shared" si="6"/>
        <v>0.25570776255707783</v>
      </c>
      <c r="K73" s="65">
        <f t="shared" si="7"/>
        <v>0.26728110599078359</v>
      </c>
    </row>
    <row r="74" spans="1:11">
      <c r="A74" s="7" t="s">
        <v>61</v>
      </c>
      <c r="B74" s="203">
        <v>1.5</v>
      </c>
      <c r="C74" s="204">
        <v>0.98499999999999999</v>
      </c>
      <c r="D74" s="205">
        <v>0.80800000000000005</v>
      </c>
      <c r="E74" s="73">
        <f t="shared" si="4"/>
        <v>0.52284263959390875</v>
      </c>
      <c r="F74" s="71">
        <f t="shared" si="5"/>
        <v>0.85643564356435631</v>
      </c>
      <c r="G74" s="209">
        <f>B74+Jan!B74</f>
        <v>2.5</v>
      </c>
      <c r="H74" s="209">
        <f>C74+Jan!C74</f>
        <v>1.6879999999999999</v>
      </c>
      <c r="I74" s="210">
        <f>D74+Jan!D74</f>
        <v>1.3839999999999999</v>
      </c>
      <c r="J74" s="64">
        <f t="shared" si="6"/>
        <v>0.48104265402843605</v>
      </c>
      <c r="K74" s="65">
        <f t="shared" si="7"/>
        <v>0.8063583815028903</v>
      </c>
    </row>
    <row r="75" spans="1:11">
      <c r="A75" s="7" t="s">
        <v>62</v>
      </c>
      <c r="B75" s="203">
        <v>1.3</v>
      </c>
      <c r="C75" s="204">
        <v>0.71099999999999997</v>
      </c>
      <c r="D75" s="205">
        <v>0.66900000000000004</v>
      </c>
      <c r="E75" s="73">
        <f t="shared" si="4"/>
        <v>0.82841068917018301</v>
      </c>
      <c r="F75" s="71">
        <f t="shared" si="5"/>
        <v>0.94319880418535118</v>
      </c>
      <c r="G75" s="209">
        <f>B75+Jan!B75</f>
        <v>2.1</v>
      </c>
      <c r="H75" s="209">
        <f>C75+Jan!C75</f>
        <v>0.98699999999999999</v>
      </c>
      <c r="I75" s="210">
        <f>D75+Jan!D75</f>
        <v>0.99399999999999999</v>
      </c>
      <c r="J75" s="64">
        <f t="shared" si="6"/>
        <v>1.1276595744680851</v>
      </c>
      <c r="K75" s="65">
        <f t="shared" si="7"/>
        <v>1.1126760563380285</v>
      </c>
    </row>
    <row r="76" spans="1:11">
      <c r="A76" s="7" t="s">
        <v>63</v>
      </c>
      <c r="B76" s="203">
        <v>1.8</v>
      </c>
      <c r="C76" s="204">
        <v>1.1619999999999999</v>
      </c>
      <c r="D76" s="205">
        <v>1.014</v>
      </c>
      <c r="E76" s="73">
        <f t="shared" si="4"/>
        <v>0.54905335628227214</v>
      </c>
      <c r="F76" s="71">
        <f t="shared" si="5"/>
        <v>0.7751479289940828</v>
      </c>
      <c r="G76" s="209">
        <f>B76+Jan!B76</f>
        <v>3.7</v>
      </c>
      <c r="H76" s="209">
        <f>C76+Jan!C76</f>
        <v>2.2509999999999999</v>
      </c>
      <c r="I76" s="210">
        <f>D76+Jan!D76</f>
        <v>1.988</v>
      </c>
      <c r="J76" s="64">
        <f t="shared" si="6"/>
        <v>0.64371390493114178</v>
      </c>
      <c r="K76" s="65">
        <f t="shared" si="7"/>
        <v>0.86116700201207252</v>
      </c>
    </row>
    <row r="77" spans="1:11">
      <c r="A77" s="7" t="s">
        <v>64</v>
      </c>
      <c r="B77" s="203">
        <v>0.6</v>
      </c>
      <c r="C77" s="204">
        <v>0.34899999999999998</v>
      </c>
      <c r="D77" s="205">
        <v>0.32100000000000001</v>
      </c>
      <c r="E77" s="73">
        <f t="shared" si="4"/>
        <v>0.7191977077363898</v>
      </c>
      <c r="F77" s="71">
        <f t="shared" si="5"/>
        <v>0.86915887850467288</v>
      </c>
      <c r="G77" s="209">
        <f>B77+Jan!B77</f>
        <v>0.89999999999999991</v>
      </c>
      <c r="H77" s="209">
        <f>C77+Jan!C77</f>
        <v>0.57899999999999996</v>
      </c>
      <c r="I77" s="210">
        <f>D77+Jan!D77</f>
        <v>0.56499999999999995</v>
      </c>
      <c r="J77" s="64">
        <f t="shared" si="6"/>
        <v>0.55440414507772018</v>
      </c>
      <c r="K77" s="65">
        <f t="shared" si="7"/>
        <v>0.59292035398230092</v>
      </c>
    </row>
    <row r="78" spans="1:11">
      <c r="A78" s="7"/>
      <c r="B78" s="203"/>
      <c r="C78" s="204"/>
      <c r="D78" s="205"/>
      <c r="E78" s="73"/>
      <c r="F78" s="71"/>
      <c r="G78" s="209"/>
      <c r="H78" s="209"/>
      <c r="I78" s="210">
        <f>D78+Jan!D78</f>
        <v>0</v>
      </c>
      <c r="J78" s="64"/>
      <c r="K78" s="65"/>
    </row>
    <row r="79" spans="1:11">
      <c r="A79" s="7" t="s">
        <v>65</v>
      </c>
      <c r="B79" s="203">
        <v>60.9</v>
      </c>
      <c r="C79" s="204">
        <v>53.415999999999997</v>
      </c>
      <c r="D79" s="205">
        <v>51.11</v>
      </c>
      <c r="E79" s="73">
        <f t="shared" si="4"/>
        <v>0.14010783285906858</v>
      </c>
      <c r="F79" s="71">
        <f t="shared" si="5"/>
        <v>0.19154764234005084</v>
      </c>
      <c r="G79" s="209">
        <f>B79+Jan!B79</f>
        <v>129.30000000000001</v>
      </c>
      <c r="H79" s="209">
        <f>C79+Jan!C79</f>
        <v>110.80099999999999</v>
      </c>
      <c r="I79" s="210">
        <f>D79+Jan!D79</f>
        <v>105.75</v>
      </c>
      <c r="J79" s="64">
        <f t="shared" si="6"/>
        <v>0.16695697692259115</v>
      </c>
      <c r="K79" s="65">
        <f t="shared" si="7"/>
        <v>0.22269503546099312</v>
      </c>
    </row>
    <row r="80" spans="1:11">
      <c r="A80" s="7" t="s">
        <v>66</v>
      </c>
      <c r="B80" s="203">
        <v>46</v>
      </c>
      <c r="C80" s="204">
        <v>41.247999999999998</v>
      </c>
      <c r="D80" s="205">
        <v>38.613999999999997</v>
      </c>
      <c r="E80" s="73">
        <f t="shared" si="4"/>
        <v>0.11520558572536865</v>
      </c>
      <c r="F80" s="71">
        <f t="shared" si="5"/>
        <v>0.19127777490029541</v>
      </c>
      <c r="G80" s="209">
        <f>B80+Jan!B80</f>
        <v>97.7</v>
      </c>
      <c r="H80" s="209">
        <f>C80+Jan!C80</f>
        <v>85.635999999999996</v>
      </c>
      <c r="I80" s="210">
        <f>D80+Jan!D80</f>
        <v>79.706999999999994</v>
      </c>
      <c r="J80" s="64">
        <f t="shared" si="6"/>
        <v>0.14087533280396114</v>
      </c>
      <c r="K80" s="65">
        <f t="shared" si="7"/>
        <v>0.22573927007665584</v>
      </c>
    </row>
    <row r="81" spans="1:11">
      <c r="A81" s="7" t="s">
        <v>67</v>
      </c>
      <c r="B81" s="203">
        <v>4.3</v>
      </c>
      <c r="C81" s="204">
        <v>4.0960000000000001</v>
      </c>
      <c r="D81" s="205">
        <v>3.8679999999999999</v>
      </c>
      <c r="E81" s="73">
        <f t="shared" si="4"/>
        <v>4.98046875E-2</v>
      </c>
      <c r="F81" s="71">
        <f t="shared" si="5"/>
        <v>0.11168562564632878</v>
      </c>
      <c r="G81" s="209">
        <f>B81+Jan!B81</f>
        <v>8.1999999999999993</v>
      </c>
      <c r="H81" s="209">
        <f>C81+Jan!C81</f>
        <v>7.508</v>
      </c>
      <c r="I81" s="210">
        <f>D81+Jan!D81</f>
        <v>7.008</v>
      </c>
      <c r="J81" s="64">
        <f t="shared" si="6"/>
        <v>9.2168353755993415E-2</v>
      </c>
      <c r="K81" s="65">
        <f t="shared" si="7"/>
        <v>0.17009132420091322</v>
      </c>
    </row>
    <row r="82" spans="1:11">
      <c r="A82" s="7" t="s">
        <v>68</v>
      </c>
      <c r="B82" s="203">
        <v>1.1000000000000001</v>
      </c>
      <c r="C82" s="204">
        <v>0.98699999999999999</v>
      </c>
      <c r="D82" s="205">
        <v>0.97599999999999998</v>
      </c>
      <c r="E82" s="73">
        <f t="shared" si="4"/>
        <v>0.11448834853090184</v>
      </c>
      <c r="F82" s="71">
        <f t="shared" si="5"/>
        <v>0.12704918032786905</v>
      </c>
      <c r="G82" s="209">
        <f>B82+Jan!B82</f>
        <v>2.1</v>
      </c>
      <c r="H82" s="209">
        <f>C82+Jan!C82</f>
        <v>2.0249999999999999</v>
      </c>
      <c r="I82" s="210">
        <f>D82+Jan!D82</f>
        <v>1.7770000000000001</v>
      </c>
      <c r="J82" s="64">
        <f t="shared" si="6"/>
        <v>3.7037037037037202E-2</v>
      </c>
      <c r="K82" s="65">
        <f t="shared" si="7"/>
        <v>0.18176702307259429</v>
      </c>
    </row>
    <row r="83" spans="1:11">
      <c r="A83" s="7" t="s">
        <v>69</v>
      </c>
      <c r="B83" s="203">
        <v>9.5</v>
      </c>
      <c r="C83" s="204">
        <v>7.085</v>
      </c>
      <c r="D83" s="205">
        <v>7.6520000000000001</v>
      </c>
      <c r="E83" s="73">
        <f t="shared" si="4"/>
        <v>0.3408609738884969</v>
      </c>
      <c r="F83" s="71">
        <f t="shared" si="5"/>
        <v>0.24150548876110811</v>
      </c>
      <c r="G83" s="209">
        <f>B83+Jan!B83</f>
        <v>21.3</v>
      </c>
      <c r="H83" s="209">
        <f>C83+Jan!C83</f>
        <v>15.632000000000001</v>
      </c>
      <c r="I83" s="210">
        <f>D83+Jan!D83</f>
        <v>17.257999999999999</v>
      </c>
      <c r="J83" s="64">
        <f t="shared" si="6"/>
        <v>0.36258955987717489</v>
      </c>
      <c r="K83" s="65">
        <f t="shared" si="7"/>
        <v>0.23421022134662195</v>
      </c>
    </row>
    <row r="84" spans="1:11">
      <c r="A84" s="7" t="s">
        <v>70</v>
      </c>
      <c r="B84" s="203">
        <v>0.2</v>
      </c>
      <c r="C84" s="204">
        <v>0.25800000000000001</v>
      </c>
      <c r="D84" s="205">
        <v>0.20799999999999999</v>
      </c>
      <c r="E84" s="73">
        <f t="shared" si="4"/>
        <v>-0.22480620155038755</v>
      </c>
      <c r="F84" s="71">
        <f t="shared" si="5"/>
        <v>-3.8461538461538325E-2</v>
      </c>
      <c r="G84" s="209">
        <f>B84+Jan!B84</f>
        <v>0.5</v>
      </c>
      <c r="H84" s="209">
        <f>C84+Jan!C84</f>
        <v>0.53500000000000003</v>
      </c>
      <c r="I84" s="210">
        <f>D84+Jan!D84</f>
        <v>0.45599999999999996</v>
      </c>
      <c r="J84" s="64">
        <f t="shared" si="6"/>
        <v>-6.5420560747663559E-2</v>
      </c>
      <c r="K84" s="65">
        <f t="shared" si="7"/>
        <v>9.6491228070175517E-2</v>
      </c>
    </row>
    <row r="85" spans="1:11">
      <c r="A85" s="7" t="s">
        <v>71</v>
      </c>
      <c r="B85" s="203">
        <v>2.8</v>
      </c>
      <c r="C85" s="204">
        <v>2.327</v>
      </c>
      <c r="D85" s="205">
        <v>1.9770000000000001</v>
      </c>
      <c r="E85" s="73">
        <f t="shared" si="4"/>
        <v>0.20326600773528147</v>
      </c>
      <c r="F85" s="71">
        <f t="shared" si="5"/>
        <v>0.41628730399595337</v>
      </c>
      <c r="G85" s="209">
        <f>B85+Jan!B85</f>
        <v>7.3999999999999995</v>
      </c>
      <c r="H85" s="209">
        <f>C85+Jan!C85</f>
        <v>6.1840000000000002</v>
      </c>
      <c r="I85" s="210">
        <f>D85+Jan!D85</f>
        <v>5.3529999999999998</v>
      </c>
      <c r="J85" s="64">
        <f t="shared" si="6"/>
        <v>0.19663648124191457</v>
      </c>
      <c r="K85" s="65">
        <f t="shared" si="7"/>
        <v>0.38240239118251451</v>
      </c>
    </row>
    <row r="86" spans="1:11">
      <c r="A86" s="7" t="s">
        <v>72</v>
      </c>
      <c r="B86" s="203">
        <v>3.3</v>
      </c>
      <c r="C86" s="204">
        <v>1.9470000000000001</v>
      </c>
      <c r="D86" s="205">
        <v>2.8740000000000001</v>
      </c>
      <c r="E86" s="73">
        <f t="shared" si="4"/>
        <v>0.69491525423728806</v>
      </c>
      <c r="F86" s="71">
        <f t="shared" si="5"/>
        <v>0.14822546972860118</v>
      </c>
      <c r="G86" s="209">
        <f>B86+Jan!B86</f>
        <v>7.5</v>
      </c>
      <c r="H86" s="209">
        <f>C86+Jan!C86</f>
        <v>4.3529999999999998</v>
      </c>
      <c r="I86" s="210">
        <f>D86+Jan!D86</f>
        <v>6.93</v>
      </c>
      <c r="J86" s="64">
        <f t="shared" si="6"/>
        <v>0.72294968986905594</v>
      </c>
      <c r="K86" s="65">
        <f t="shared" si="7"/>
        <v>8.2251082251082241E-2</v>
      </c>
    </row>
    <row r="87" spans="1:11">
      <c r="A87" s="7" t="s">
        <v>73</v>
      </c>
      <c r="B87" s="203">
        <v>1</v>
      </c>
      <c r="C87" s="204">
        <v>0.625</v>
      </c>
      <c r="D87" s="205">
        <v>0.90900000000000003</v>
      </c>
      <c r="E87" s="73">
        <f t="shared" si="4"/>
        <v>0.60000000000000009</v>
      </c>
      <c r="F87" s="71">
        <f t="shared" si="5"/>
        <v>0.10011001100110017</v>
      </c>
      <c r="G87" s="209">
        <f>B87+Jan!B87</f>
        <v>1.6</v>
      </c>
      <c r="H87" s="209">
        <f>C87+Jan!C87</f>
        <v>1.2090000000000001</v>
      </c>
      <c r="I87" s="210">
        <f>D87+Jan!D87</f>
        <v>1.4220000000000002</v>
      </c>
      <c r="J87" s="64">
        <f t="shared" si="6"/>
        <v>0.3234077750206783</v>
      </c>
      <c r="K87" s="65">
        <f t="shared" si="7"/>
        <v>0.12517580872011247</v>
      </c>
    </row>
    <row r="88" spans="1:11">
      <c r="A88" s="7" t="s">
        <v>74</v>
      </c>
      <c r="B88" s="203">
        <v>0.5</v>
      </c>
      <c r="C88" s="204">
        <v>0.55200000000000005</v>
      </c>
      <c r="D88" s="205">
        <v>0.39800000000000002</v>
      </c>
      <c r="E88" s="73">
        <f t="shared" si="4"/>
        <v>-9.4202898550724723E-2</v>
      </c>
      <c r="F88" s="71">
        <f t="shared" si="5"/>
        <v>0.25628140703517577</v>
      </c>
      <c r="G88" s="209">
        <f>B88+Jan!B88</f>
        <v>1</v>
      </c>
      <c r="H88" s="209">
        <f>C88+Jan!C88</f>
        <v>0.88300000000000001</v>
      </c>
      <c r="I88" s="210">
        <f>D88+Jan!D88</f>
        <v>0.83299999999999996</v>
      </c>
      <c r="J88" s="64">
        <f t="shared" si="6"/>
        <v>0.13250283125707818</v>
      </c>
      <c r="K88" s="65">
        <f t="shared" si="7"/>
        <v>0.20048019207683088</v>
      </c>
    </row>
    <row r="89" spans="1:11">
      <c r="A89" s="7" t="s">
        <v>75</v>
      </c>
      <c r="B89" s="203">
        <v>0.1</v>
      </c>
      <c r="C89" s="204">
        <v>4.4999999999999998E-2</v>
      </c>
      <c r="D89" s="205">
        <v>0.05</v>
      </c>
      <c r="E89" s="73">
        <f t="shared" si="4"/>
        <v>1.2222222222222223</v>
      </c>
      <c r="F89" s="71">
        <f t="shared" si="5"/>
        <v>1</v>
      </c>
      <c r="G89" s="209">
        <f>B89+Jan!B89</f>
        <v>1.1000000000000001</v>
      </c>
      <c r="H89" s="209">
        <f>C89+Jan!C89</f>
        <v>0.128</v>
      </c>
      <c r="I89" s="210">
        <f>D89+Jan!D89</f>
        <v>0.10800000000000001</v>
      </c>
      <c r="J89" s="64">
        <f t="shared" si="6"/>
        <v>7.59375</v>
      </c>
      <c r="K89" s="65">
        <f t="shared" si="7"/>
        <v>9.1851851851851851</v>
      </c>
    </row>
    <row r="90" spans="1:11">
      <c r="A90" s="7"/>
      <c r="B90" s="203"/>
      <c r="C90" s="204"/>
      <c r="D90" s="205"/>
      <c r="E90" s="73"/>
      <c r="F90" s="71"/>
      <c r="G90" s="209"/>
      <c r="H90" s="209"/>
      <c r="I90" s="210">
        <f>D90+Jan!D90</f>
        <v>0</v>
      </c>
      <c r="J90" s="64"/>
      <c r="K90" s="65"/>
    </row>
    <row r="91" spans="1:11">
      <c r="A91" s="7" t="s">
        <v>76</v>
      </c>
      <c r="B91" s="203">
        <v>1.5</v>
      </c>
      <c r="C91" s="204">
        <v>1.1990000000000001</v>
      </c>
      <c r="D91" s="205">
        <v>1.405</v>
      </c>
      <c r="E91" s="73">
        <f t="shared" si="4"/>
        <v>0.25104253544620514</v>
      </c>
      <c r="F91" s="71">
        <f t="shared" si="5"/>
        <v>6.7615658362989217E-2</v>
      </c>
      <c r="G91" s="209">
        <f>B91+Jan!B91</f>
        <v>4</v>
      </c>
      <c r="H91" s="209">
        <f>C91+Jan!C91</f>
        <v>3.4470000000000001</v>
      </c>
      <c r="I91" s="210">
        <f>D91+Jan!D91</f>
        <v>3.403</v>
      </c>
      <c r="J91" s="64">
        <f t="shared" si="6"/>
        <v>0.1604293588627792</v>
      </c>
      <c r="K91" s="65">
        <f t="shared" si="7"/>
        <v>0.17543344108139869</v>
      </c>
    </row>
    <row r="92" spans="1:11">
      <c r="A92" s="7" t="s">
        <v>77</v>
      </c>
      <c r="B92" s="203">
        <v>1.3</v>
      </c>
      <c r="C92" s="204">
        <v>1.0640000000000001</v>
      </c>
      <c r="D92" s="205">
        <v>1.1990000000000001</v>
      </c>
      <c r="E92" s="73">
        <f t="shared" si="4"/>
        <v>0.22180451127819545</v>
      </c>
      <c r="F92" s="71">
        <f t="shared" si="5"/>
        <v>8.4236864053377714E-2</v>
      </c>
      <c r="G92" s="209">
        <f>B92+Jan!B92</f>
        <v>3.5999999999999996</v>
      </c>
      <c r="H92" s="209">
        <f>C92+Jan!C92</f>
        <v>3.01</v>
      </c>
      <c r="I92" s="210">
        <f>D92+Jan!D92</f>
        <v>2.9370000000000003</v>
      </c>
      <c r="J92" s="64">
        <f t="shared" si="6"/>
        <v>0.19601328903654491</v>
      </c>
      <c r="K92" s="65">
        <f t="shared" si="7"/>
        <v>0.22574055158324802</v>
      </c>
    </row>
    <row r="93" spans="1:11">
      <c r="A93" s="7" t="s">
        <v>78</v>
      </c>
      <c r="B93" s="203">
        <v>0.1</v>
      </c>
      <c r="C93" s="204">
        <v>0.104</v>
      </c>
      <c r="D93" s="205">
        <v>0.16900000000000001</v>
      </c>
      <c r="E93" s="73">
        <f t="shared" si="4"/>
        <v>-3.8461538461538325E-2</v>
      </c>
      <c r="F93" s="71">
        <f t="shared" si="5"/>
        <v>-0.40828402366863903</v>
      </c>
      <c r="G93" s="209">
        <f>B93+Jan!B93</f>
        <v>0.30000000000000004</v>
      </c>
      <c r="H93" s="209">
        <f>C93+Jan!C93</f>
        <v>0.34799999999999998</v>
      </c>
      <c r="I93" s="210">
        <f>D93+Jan!D93</f>
        <v>0.378</v>
      </c>
      <c r="J93" s="64">
        <f t="shared" si="6"/>
        <v>-0.13793103448275845</v>
      </c>
      <c r="K93" s="65">
        <f t="shared" si="7"/>
        <v>-0.20634920634920628</v>
      </c>
    </row>
    <row r="94" spans="1:11">
      <c r="A94" s="7" t="s">
        <v>19</v>
      </c>
      <c r="B94" s="203">
        <v>0.1</v>
      </c>
      <c r="C94" s="204">
        <v>3.1E-2</v>
      </c>
      <c r="D94" s="205">
        <v>3.6999999999999998E-2</v>
      </c>
      <c r="E94" s="73">
        <f t="shared" si="4"/>
        <v>2.2258064516129035</v>
      </c>
      <c r="F94" s="71">
        <f t="shared" si="5"/>
        <v>1.7027027027027031</v>
      </c>
      <c r="G94" s="209">
        <f>B94+Jan!B94</f>
        <v>0.1</v>
      </c>
      <c r="H94" s="209">
        <f>C94+Jan!C94</f>
        <v>8.8999999999999996E-2</v>
      </c>
      <c r="I94" s="210">
        <f>D94+Jan!D94</f>
        <v>8.7999999999999995E-2</v>
      </c>
      <c r="J94" s="64">
        <f t="shared" si="6"/>
        <v>0.12359550561797761</v>
      </c>
      <c r="K94" s="65">
        <f t="shared" si="7"/>
        <v>0.13636363636363646</v>
      </c>
    </row>
    <row r="95" spans="1:11">
      <c r="A95" s="7"/>
      <c r="B95" s="203"/>
      <c r="C95" s="204"/>
      <c r="D95" s="205"/>
      <c r="E95" s="73"/>
      <c r="F95" s="71"/>
      <c r="G95" s="209"/>
      <c r="H95" s="209"/>
      <c r="I95" s="210">
        <f>D95+Jan!D95</f>
        <v>0</v>
      </c>
      <c r="J95" s="64"/>
      <c r="K95" s="65"/>
    </row>
    <row r="96" spans="1:11" ht="13.5" thickBot="1">
      <c r="A96" s="9" t="s">
        <v>79</v>
      </c>
      <c r="B96" s="206">
        <v>0.5</v>
      </c>
      <c r="C96" s="207">
        <v>0.53100000000000003</v>
      </c>
      <c r="D96" s="208">
        <v>0.503</v>
      </c>
      <c r="E96" s="74">
        <f t="shared" si="4"/>
        <v>-5.8380414312617757E-2</v>
      </c>
      <c r="F96" s="72">
        <f t="shared" si="5"/>
        <v>-5.9642147117295874E-3</v>
      </c>
      <c r="G96" s="209">
        <f>B96+Jan!B96</f>
        <v>1.1000000000000001</v>
      </c>
      <c r="H96" s="209">
        <f>C96+Jan!C96</f>
        <v>1.2709999999999999</v>
      </c>
      <c r="I96" s="210">
        <f>D96+Jan!D96</f>
        <v>2.1030000000000002</v>
      </c>
      <c r="J96" s="66">
        <f t="shared" si="6"/>
        <v>-0.13453973249409901</v>
      </c>
      <c r="K96" s="67">
        <f t="shared" si="7"/>
        <v>-0.47693770803613889</v>
      </c>
    </row>
  </sheetData>
  <mergeCells count="4">
    <mergeCell ref="B3:D3"/>
    <mergeCell ref="E3:F3"/>
    <mergeCell ref="G3:I3"/>
    <mergeCell ref="J3:K3"/>
  </mergeCells>
  <conditionalFormatting sqref="E5:F96">
    <cfRule type="cellIs" dxfId="87" priority="9" operator="lessThan">
      <formula>0</formula>
    </cfRule>
    <cfRule type="cellIs" dxfId="86" priority="10" operator="greaterThan">
      <formula>0</formula>
    </cfRule>
    <cfRule type="cellIs" dxfId="85" priority="11" operator="greaterThan">
      <formula>0</formula>
    </cfRule>
    <cfRule type="cellIs" dxfId="84" priority="12" operator="lessThan">
      <formula>0</formula>
    </cfRule>
  </conditionalFormatting>
  <conditionalFormatting sqref="J5:K96">
    <cfRule type="cellIs" dxfId="83" priority="1" operator="lessThan">
      <formula>0</formula>
    </cfRule>
    <cfRule type="cellIs" dxfId="82" priority="2" operator="greaterThan">
      <formula>0</formula>
    </cfRule>
    <cfRule type="cellIs" dxfId="81" priority="3" operator="greaterThan">
      <formula>0</formula>
    </cfRule>
    <cfRule type="cellIs" dxfId="80" priority="4" operator="lessThan">
      <formula>0</formula>
    </cfRule>
  </conditionalFormatting>
  <pageMargins left="0.7" right="0.7" top="0.75" bottom="0.75" header="0.3" footer="0.3"/>
  <pageSetup paperSize="9" scale="91" orientation="portrait" r:id="rId1"/>
  <rowBreaks count="1" manualBreakCount="1">
    <brk id="5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6"/>
  <sheetViews>
    <sheetView topLeftCell="A22" zoomScaleNormal="100" workbookViewId="0">
      <selection activeCell="L55" sqref="L55"/>
    </sheetView>
  </sheetViews>
  <sheetFormatPr defaultColWidth="9" defaultRowHeight="12.75"/>
  <cols>
    <col min="1" max="1" width="26.28515625" style="22" customWidth="1"/>
    <col min="2" max="3" width="8.5703125" style="22" bestFit="1" customWidth="1"/>
    <col min="4" max="4" width="7.28515625" style="22" bestFit="1" customWidth="1"/>
    <col min="5" max="6" width="7.85546875" style="22" bestFit="1" customWidth="1"/>
    <col min="7" max="7" width="9" style="22" customWidth="1"/>
    <col min="8" max="8" width="8.5703125" style="22" bestFit="1" customWidth="1"/>
    <col min="9" max="9" width="7.28515625" style="22" bestFit="1" customWidth="1"/>
    <col min="10" max="11" width="7.85546875" style="22" bestFit="1" customWidth="1"/>
    <col min="12" max="16384" width="9" style="22"/>
  </cols>
  <sheetData>
    <row r="1" spans="1:11">
      <c r="A1" s="8" t="s">
        <v>129</v>
      </c>
      <c r="B1" s="8"/>
      <c r="C1" s="62"/>
      <c r="D1" s="62"/>
      <c r="E1" s="62"/>
      <c r="F1" s="62"/>
      <c r="G1" s="62"/>
      <c r="H1" s="62"/>
      <c r="I1" s="62"/>
      <c r="J1" s="1"/>
    </row>
    <row r="2" spans="1:11" ht="13.5" thickBot="1">
      <c r="A2" s="1" t="s">
        <v>237</v>
      </c>
      <c r="B2" s="23"/>
      <c r="C2" s="23"/>
      <c r="D2" s="23"/>
      <c r="G2" s="23"/>
      <c r="H2" s="23"/>
      <c r="I2" s="23"/>
    </row>
    <row r="3" spans="1:11" ht="13.5" thickBot="1">
      <c r="A3" s="10"/>
      <c r="B3" s="336" t="s">
        <v>90</v>
      </c>
      <c r="C3" s="337"/>
      <c r="D3" s="338"/>
      <c r="E3" s="336" t="s">
        <v>0</v>
      </c>
      <c r="F3" s="338"/>
      <c r="G3" s="326" t="s">
        <v>91</v>
      </c>
      <c r="H3" s="331"/>
      <c r="I3" s="327"/>
      <c r="J3" s="339" t="s">
        <v>0</v>
      </c>
      <c r="K3" s="340"/>
    </row>
    <row r="4" spans="1:11" ht="13.5" thickBot="1">
      <c r="A4" s="5"/>
      <c r="B4" s="83">
        <v>2017</v>
      </c>
      <c r="C4" s="83">
        <v>2016</v>
      </c>
      <c r="D4" s="141">
        <v>2015</v>
      </c>
      <c r="E4" s="21" t="s">
        <v>214</v>
      </c>
      <c r="F4" s="21" t="s">
        <v>215</v>
      </c>
      <c r="G4" s="19">
        <v>2017</v>
      </c>
      <c r="H4" s="140">
        <v>2016</v>
      </c>
      <c r="I4" s="68">
        <v>2015</v>
      </c>
      <c r="J4" s="21" t="s">
        <v>214</v>
      </c>
      <c r="K4" s="21" t="s">
        <v>215</v>
      </c>
    </row>
    <row r="5" spans="1:11">
      <c r="A5" s="7" t="s">
        <v>1</v>
      </c>
      <c r="B5" s="213">
        <v>293</v>
      </c>
      <c r="C5" s="213">
        <v>240.44499999999999</v>
      </c>
      <c r="D5" s="214">
        <v>238.79300000000001</v>
      </c>
      <c r="E5" s="76">
        <f>B5/C5-1</f>
        <v>0.21857389423776752</v>
      </c>
      <c r="F5" s="18">
        <f>B5/D5-1</f>
        <v>0.22700414166244398</v>
      </c>
      <c r="G5" s="209">
        <f>B5+Feb!G5</f>
        <v>736.7</v>
      </c>
      <c r="H5" s="209">
        <f>C5+Feb!H5</f>
        <v>596.51600000000008</v>
      </c>
      <c r="I5" s="210">
        <f>D5+Feb!I5</f>
        <v>594.101</v>
      </c>
      <c r="J5" s="17">
        <f>G5/H5-1</f>
        <v>0.23500459333865309</v>
      </c>
      <c r="K5" s="18">
        <f>G5/I5-1</f>
        <v>0.24002484426048776</v>
      </c>
    </row>
    <row r="6" spans="1:11">
      <c r="A6" s="7" t="s">
        <v>2</v>
      </c>
      <c r="B6" s="215">
        <v>40.9</v>
      </c>
      <c r="C6" s="215">
        <v>22.818000000000001</v>
      </c>
      <c r="D6" s="216">
        <v>19.12</v>
      </c>
      <c r="E6" s="73">
        <f t="shared" ref="E6:E69" si="0">B6/C6-1</f>
        <v>0.79244456131124541</v>
      </c>
      <c r="F6" s="25">
        <f t="shared" ref="F6:F69" si="1">B6/D6-1</f>
        <v>1.1391213389121337</v>
      </c>
      <c r="G6" s="209">
        <f>B6+Feb!G6</f>
        <v>100</v>
      </c>
      <c r="H6" s="209">
        <f>C6+Feb!H6</f>
        <v>60.076999999999998</v>
      </c>
      <c r="I6" s="210">
        <f>D6+Feb!I6</f>
        <v>53.085000000000008</v>
      </c>
      <c r="J6" s="24">
        <f t="shared" ref="J6:J69" si="2">G6/H6-1</f>
        <v>0.66453051916706896</v>
      </c>
      <c r="K6" s="25">
        <f t="shared" ref="K6:K69" si="3">G6/I6-1</f>
        <v>0.88377131016294586</v>
      </c>
    </row>
    <row r="7" spans="1:11">
      <c r="A7" s="7"/>
      <c r="B7" s="215"/>
      <c r="C7" s="215"/>
      <c r="D7" s="216"/>
      <c r="E7" s="73"/>
      <c r="F7" s="25"/>
      <c r="G7" s="209"/>
      <c r="H7" s="209"/>
      <c r="I7" s="210">
        <f>D7+Feb!I7</f>
        <v>0</v>
      </c>
      <c r="J7" s="24"/>
      <c r="K7" s="25"/>
    </row>
    <row r="8" spans="1:11">
      <c r="A8" s="7" t="s">
        <v>3</v>
      </c>
      <c r="B8" s="215">
        <v>31.9</v>
      </c>
      <c r="C8" s="215">
        <v>17.254999999999999</v>
      </c>
      <c r="D8" s="216">
        <v>14.635</v>
      </c>
      <c r="E8" s="73">
        <f t="shared" si="0"/>
        <v>0.84873949579831942</v>
      </c>
      <c r="F8" s="25">
        <f t="shared" si="1"/>
        <v>1.1797061838059446</v>
      </c>
      <c r="G8" s="209">
        <f>B8+Feb!G8</f>
        <v>78.099999999999994</v>
      </c>
      <c r="H8" s="209">
        <f>C8+Feb!H8</f>
        <v>46.150999999999996</v>
      </c>
      <c r="I8" s="210">
        <f>D8+Feb!I8</f>
        <v>40.613999999999997</v>
      </c>
      <c r="J8" s="24">
        <f t="shared" si="2"/>
        <v>0.69227102337977509</v>
      </c>
      <c r="K8" s="25">
        <f t="shared" si="3"/>
        <v>0.92298222287881027</v>
      </c>
    </row>
    <row r="9" spans="1:11">
      <c r="A9" s="7" t="s">
        <v>4</v>
      </c>
      <c r="B9" s="215">
        <v>4.0999999999999996</v>
      </c>
      <c r="C9" s="215">
        <v>2.7930000000000001</v>
      </c>
      <c r="D9" s="216">
        <v>2.1240000000000001</v>
      </c>
      <c r="E9" s="73">
        <f t="shared" si="0"/>
        <v>0.46795560329394892</v>
      </c>
      <c r="F9" s="25">
        <f t="shared" si="1"/>
        <v>0.93032015065913343</v>
      </c>
      <c r="G9" s="209">
        <f>B9+Feb!G9</f>
        <v>8.3000000000000007</v>
      </c>
      <c r="H9" s="209">
        <f>C9+Feb!H9</f>
        <v>6.4260000000000002</v>
      </c>
      <c r="I9" s="210">
        <f>D9+Feb!I9</f>
        <v>5.5670000000000002</v>
      </c>
      <c r="J9" s="24">
        <f t="shared" si="2"/>
        <v>0.29162776221599751</v>
      </c>
      <c r="K9" s="25">
        <f t="shared" si="3"/>
        <v>0.49092868690497582</v>
      </c>
    </row>
    <row r="10" spans="1:11">
      <c r="A10" s="7" t="s">
        <v>5</v>
      </c>
      <c r="B10" s="215">
        <v>1</v>
      </c>
      <c r="C10" s="215">
        <v>0.73799999999999999</v>
      </c>
      <c r="D10" s="216">
        <v>0.61399999999999999</v>
      </c>
      <c r="E10" s="73">
        <f t="shared" si="0"/>
        <v>0.3550135501355014</v>
      </c>
      <c r="F10" s="25">
        <f t="shared" si="1"/>
        <v>0.62866449511400657</v>
      </c>
      <c r="G10" s="209">
        <f>B10+Feb!G10</f>
        <v>2.2999999999999998</v>
      </c>
      <c r="H10" s="209">
        <f>C10+Feb!H10</f>
        <v>1.4420000000000002</v>
      </c>
      <c r="I10" s="210">
        <f>D10+Feb!I10</f>
        <v>1.075</v>
      </c>
      <c r="J10" s="24">
        <f t="shared" si="2"/>
        <v>0.59500693481275979</v>
      </c>
      <c r="K10" s="25">
        <f t="shared" si="3"/>
        <v>1.13953488372093</v>
      </c>
    </row>
    <row r="11" spans="1:11">
      <c r="A11" s="7" t="s">
        <v>6</v>
      </c>
      <c r="B11" s="215">
        <v>6.4</v>
      </c>
      <c r="C11" s="215">
        <v>2.8730000000000002</v>
      </c>
      <c r="D11" s="216">
        <v>2.3010000000000002</v>
      </c>
      <c r="E11" s="73">
        <f t="shared" si="0"/>
        <v>1.2276366167768882</v>
      </c>
      <c r="F11" s="25">
        <f t="shared" si="1"/>
        <v>1.7813993915688831</v>
      </c>
      <c r="G11" s="209">
        <f>B11+Feb!G11</f>
        <v>11.8</v>
      </c>
      <c r="H11" s="209">
        <f>C11+Feb!H11</f>
        <v>5.5780000000000003</v>
      </c>
      <c r="I11" s="210">
        <f>D11+Feb!I11</f>
        <v>5.4119999999999999</v>
      </c>
      <c r="J11" s="24">
        <f t="shared" si="2"/>
        <v>1.1154535675869486</v>
      </c>
      <c r="K11" s="25">
        <f t="shared" si="3"/>
        <v>1.1803399852180343</v>
      </c>
    </row>
    <row r="12" spans="1:11">
      <c r="A12" s="7" t="s">
        <v>86</v>
      </c>
      <c r="B12" s="215">
        <v>0.6</v>
      </c>
      <c r="C12" s="215">
        <v>0.39400000000000002</v>
      </c>
      <c r="D12" s="216">
        <v>0.441</v>
      </c>
      <c r="E12" s="73">
        <f t="shared" si="0"/>
        <v>0.52284263959390853</v>
      </c>
      <c r="F12" s="25">
        <f t="shared" si="1"/>
        <v>0.36054421768707479</v>
      </c>
      <c r="G12" s="209">
        <f>B12+Feb!G12</f>
        <v>1.2000000000000002</v>
      </c>
      <c r="H12" s="209">
        <f>C12+Feb!H12</f>
        <v>1.0720000000000001</v>
      </c>
      <c r="I12" s="210">
        <f>D12+Feb!I12</f>
        <v>1.139</v>
      </c>
      <c r="J12" s="24">
        <f t="shared" si="2"/>
        <v>0.11940298507462699</v>
      </c>
      <c r="K12" s="25">
        <f t="shared" si="3"/>
        <v>5.3555750658472512E-2</v>
      </c>
    </row>
    <row r="13" spans="1:11">
      <c r="A13" s="7" t="s">
        <v>8</v>
      </c>
      <c r="B13" s="215">
        <v>10.6</v>
      </c>
      <c r="C13" s="215">
        <v>4.5949999999999998</v>
      </c>
      <c r="D13" s="216">
        <v>3.49</v>
      </c>
      <c r="E13" s="73">
        <f t="shared" si="0"/>
        <v>1.3068552774755169</v>
      </c>
      <c r="F13" s="25">
        <f t="shared" si="1"/>
        <v>2.0372492836676215</v>
      </c>
      <c r="G13" s="209">
        <f>B13+Feb!G13</f>
        <v>28</v>
      </c>
      <c r="H13" s="209">
        <f>C13+Feb!H13</f>
        <v>12.138999999999999</v>
      </c>
      <c r="I13" s="210">
        <f>D13+Feb!I13</f>
        <v>10.199</v>
      </c>
      <c r="J13" s="24">
        <f t="shared" si="2"/>
        <v>1.306615042425241</v>
      </c>
      <c r="K13" s="25">
        <f t="shared" si="3"/>
        <v>1.7453671928620453</v>
      </c>
    </row>
    <row r="14" spans="1:11">
      <c r="A14" s="7" t="s">
        <v>9</v>
      </c>
      <c r="B14" s="215">
        <v>1.6</v>
      </c>
      <c r="C14" s="215">
        <v>1.04</v>
      </c>
      <c r="D14" s="216">
        <v>0.91400000000000003</v>
      </c>
      <c r="E14" s="73">
        <f t="shared" si="0"/>
        <v>0.53846153846153855</v>
      </c>
      <c r="F14" s="25">
        <f t="shared" si="1"/>
        <v>0.75054704595185995</v>
      </c>
      <c r="G14" s="209">
        <f>B14+Feb!G14</f>
        <v>4.0999999999999996</v>
      </c>
      <c r="H14" s="209">
        <f>C14+Feb!H14</f>
        <v>2.7090000000000001</v>
      </c>
      <c r="I14" s="210">
        <f>D14+Feb!I14</f>
        <v>3.1250000000000004</v>
      </c>
      <c r="J14" s="24">
        <f t="shared" si="2"/>
        <v>0.51347360649686213</v>
      </c>
      <c r="K14" s="25">
        <f t="shared" si="3"/>
        <v>0.31199999999999961</v>
      </c>
    </row>
    <row r="15" spans="1:11">
      <c r="A15" s="7" t="s">
        <v>10</v>
      </c>
      <c r="B15" s="215">
        <v>0.6</v>
      </c>
      <c r="C15" s="215">
        <v>0.47199999999999998</v>
      </c>
      <c r="D15" s="216">
        <v>0.60899999999999999</v>
      </c>
      <c r="E15" s="73">
        <f t="shared" si="0"/>
        <v>0.27118644067796605</v>
      </c>
      <c r="F15" s="25">
        <f t="shared" si="1"/>
        <v>-1.4778325123152691E-2</v>
      </c>
      <c r="G15" s="209">
        <f>B15+Feb!G15</f>
        <v>2.3000000000000003</v>
      </c>
      <c r="H15" s="209">
        <f>C15+Feb!H15</f>
        <v>1.6949999999999998</v>
      </c>
      <c r="I15" s="210">
        <f>D15+Feb!I15</f>
        <v>1.7349999999999999</v>
      </c>
      <c r="J15" s="24">
        <f t="shared" si="2"/>
        <v>0.35693215339233064</v>
      </c>
      <c r="K15" s="25">
        <f t="shared" si="3"/>
        <v>0.32564841498559094</v>
      </c>
    </row>
    <row r="16" spans="1:11">
      <c r="A16" s="7" t="s">
        <v>11</v>
      </c>
      <c r="B16" s="215">
        <v>3.8</v>
      </c>
      <c r="C16" s="215">
        <v>2.016</v>
      </c>
      <c r="D16" s="216">
        <v>2.077</v>
      </c>
      <c r="E16" s="73">
        <f t="shared" si="0"/>
        <v>0.88492063492063489</v>
      </c>
      <c r="F16" s="25">
        <f t="shared" si="1"/>
        <v>0.82956186807896004</v>
      </c>
      <c r="G16" s="209">
        <f>B16+Feb!G16</f>
        <v>13</v>
      </c>
      <c r="H16" s="209">
        <f>C16+Feb!H16</f>
        <v>9.4450000000000003</v>
      </c>
      <c r="I16" s="210">
        <f>D16+Feb!I16</f>
        <v>7.9399999999999995</v>
      </c>
      <c r="J16" s="24">
        <f t="shared" si="2"/>
        <v>0.37638962413975641</v>
      </c>
      <c r="K16" s="25">
        <f t="shared" si="3"/>
        <v>0.63727959697733016</v>
      </c>
    </row>
    <row r="17" spans="1:11">
      <c r="A17" s="7" t="s">
        <v>12</v>
      </c>
      <c r="B17" s="215">
        <v>1.3</v>
      </c>
      <c r="C17" s="215">
        <v>1.046</v>
      </c>
      <c r="D17" s="216">
        <v>1.2370000000000001</v>
      </c>
      <c r="E17" s="73">
        <f t="shared" si="0"/>
        <v>0.24282982791587004</v>
      </c>
      <c r="F17" s="25">
        <f t="shared" si="1"/>
        <v>5.0929668552950558E-2</v>
      </c>
      <c r="G17" s="209">
        <f>B17+Feb!G17</f>
        <v>2.5</v>
      </c>
      <c r="H17" s="209">
        <f>C17+Feb!H17</f>
        <v>2.6109999999999998</v>
      </c>
      <c r="I17" s="210">
        <f>D17+Feb!I17</f>
        <v>2.0710000000000002</v>
      </c>
      <c r="J17" s="24">
        <f t="shared" si="2"/>
        <v>-4.2512447338184489E-2</v>
      </c>
      <c r="K17" s="25">
        <f t="shared" si="3"/>
        <v>0.20714630613230312</v>
      </c>
    </row>
    <row r="18" spans="1:11">
      <c r="A18" s="7" t="s">
        <v>13</v>
      </c>
      <c r="B18" s="215">
        <v>0.2</v>
      </c>
      <c r="C18" s="215">
        <v>0.17199999999999999</v>
      </c>
      <c r="D18" s="216">
        <v>0.14499999999999999</v>
      </c>
      <c r="E18" s="73">
        <f t="shared" si="0"/>
        <v>0.16279069767441867</v>
      </c>
      <c r="F18" s="25">
        <f t="shared" si="1"/>
        <v>0.3793103448275863</v>
      </c>
      <c r="G18" s="209">
        <f>B18+Feb!G18</f>
        <v>0.5</v>
      </c>
      <c r="H18" s="209">
        <f>C18+Feb!H18</f>
        <v>0.39999999999999997</v>
      </c>
      <c r="I18" s="210">
        <f>D18+Feb!I18</f>
        <v>0.379</v>
      </c>
      <c r="J18" s="24">
        <f t="shared" si="2"/>
        <v>0.25</v>
      </c>
      <c r="K18" s="25">
        <f t="shared" si="3"/>
        <v>0.31926121372031657</v>
      </c>
    </row>
    <row r="19" spans="1:11">
      <c r="A19" s="7" t="s">
        <v>14</v>
      </c>
      <c r="B19" s="215">
        <v>1.7</v>
      </c>
      <c r="C19" s="215">
        <v>1.1160000000000001</v>
      </c>
      <c r="D19" s="216">
        <v>0.68300000000000005</v>
      </c>
      <c r="E19" s="73">
        <f t="shared" si="0"/>
        <v>0.52329749103942635</v>
      </c>
      <c r="F19" s="25">
        <f t="shared" si="1"/>
        <v>1.4890190336749631</v>
      </c>
      <c r="G19" s="209">
        <f>B19+Feb!G19</f>
        <v>4.0999999999999996</v>
      </c>
      <c r="H19" s="209">
        <f>C19+Feb!H19</f>
        <v>2.6339999999999999</v>
      </c>
      <c r="I19" s="210">
        <f>D19+Feb!I19</f>
        <v>1.972</v>
      </c>
      <c r="J19" s="24">
        <f t="shared" si="2"/>
        <v>0.55656795747911914</v>
      </c>
      <c r="K19" s="25">
        <f t="shared" si="3"/>
        <v>1.079107505070994</v>
      </c>
    </row>
    <row r="20" spans="1:11">
      <c r="A20" s="7"/>
      <c r="B20" s="215"/>
      <c r="C20" s="215"/>
      <c r="D20" s="216"/>
      <c r="E20" s="73"/>
      <c r="F20" s="25"/>
      <c r="G20" s="209"/>
      <c r="H20" s="209"/>
      <c r="I20" s="210">
        <f>D20+Feb!I20</f>
        <v>0</v>
      </c>
      <c r="J20" s="24"/>
      <c r="K20" s="25"/>
    </row>
    <row r="21" spans="1:11">
      <c r="A21" s="7" t="s">
        <v>15</v>
      </c>
      <c r="B21" s="215">
        <v>6.3</v>
      </c>
      <c r="C21" s="215">
        <v>5.5629999999999997</v>
      </c>
      <c r="D21" s="216">
        <v>4.4850000000000003</v>
      </c>
      <c r="E21" s="73">
        <f t="shared" si="0"/>
        <v>0.13248247348552944</v>
      </c>
      <c r="F21" s="25">
        <f t="shared" si="1"/>
        <v>0.40468227424749159</v>
      </c>
      <c r="G21" s="209">
        <f>B21+Feb!G21</f>
        <v>17.100000000000001</v>
      </c>
      <c r="H21" s="209">
        <f>C21+Feb!H21</f>
        <v>13.925999999999998</v>
      </c>
      <c r="I21" s="210">
        <f>D21+Feb!I21</f>
        <v>12.471</v>
      </c>
      <c r="J21" s="24">
        <f t="shared" si="2"/>
        <v>0.22791900043084912</v>
      </c>
      <c r="K21" s="25">
        <f t="shared" si="3"/>
        <v>0.3711811402453693</v>
      </c>
    </row>
    <row r="22" spans="1:11">
      <c r="A22" s="7" t="s">
        <v>16</v>
      </c>
      <c r="B22" s="215">
        <v>0.8</v>
      </c>
      <c r="C22" s="215">
        <v>0.55900000000000005</v>
      </c>
      <c r="D22" s="216">
        <v>0.45600000000000002</v>
      </c>
      <c r="E22" s="73">
        <f t="shared" si="0"/>
        <v>0.43112701252236141</v>
      </c>
      <c r="F22" s="25">
        <f t="shared" si="1"/>
        <v>0.75438596491228083</v>
      </c>
      <c r="G22" s="209">
        <f>B22+Feb!G22</f>
        <v>1.8</v>
      </c>
      <c r="H22" s="209">
        <f>C22+Feb!H22</f>
        <v>1.2909999999999999</v>
      </c>
      <c r="I22" s="210">
        <f>D22+Feb!I22</f>
        <v>1.123</v>
      </c>
      <c r="J22" s="24">
        <f t="shared" si="2"/>
        <v>0.39426800929512007</v>
      </c>
      <c r="K22" s="25">
        <f t="shared" si="3"/>
        <v>0.60284951024042743</v>
      </c>
    </row>
    <row r="23" spans="1:11">
      <c r="A23" s="7" t="s">
        <v>17</v>
      </c>
      <c r="B23" s="215">
        <v>3.6</v>
      </c>
      <c r="C23" s="215">
        <v>2.9169999999999998</v>
      </c>
      <c r="D23" s="216">
        <v>1.9770000000000001</v>
      </c>
      <c r="E23" s="73">
        <f t="shared" si="0"/>
        <v>0.23414466918066523</v>
      </c>
      <c r="F23" s="25">
        <f t="shared" si="1"/>
        <v>0.82094081942336872</v>
      </c>
      <c r="G23" s="209">
        <f>B23+Feb!G23</f>
        <v>9.5</v>
      </c>
      <c r="H23" s="209">
        <f>C23+Feb!H23</f>
        <v>7.4580000000000002</v>
      </c>
      <c r="I23" s="210">
        <f>D23+Feb!I23</f>
        <v>5.343</v>
      </c>
      <c r="J23" s="24">
        <f t="shared" si="2"/>
        <v>0.2737999463663181</v>
      </c>
      <c r="K23" s="25">
        <f t="shared" si="3"/>
        <v>0.77802732547258091</v>
      </c>
    </row>
    <row r="24" spans="1:11">
      <c r="A24" s="7" t="s">
        <v>18</v>
      </c>
      <c r="B24" s="215">
        <v>1.2</v>
      </c>
      <c r="C24" s="215">
        <v>1.159</v>
      </c>
      <c r="D24" s="216">
        <v>1.1339999999999999</v>
      </c>
      <c r="E24" s="73">
        <f t="shared" si="0"/>
        <v>3.5375323554788451E-2</v>
      </c>
      <c r="F24" s="25">
        <f t="shared" si="1"/>
        <v>5.8201058201058364E-2</v>
      </c>
      <c r="G24" s="209">
        <f>B24+Feb!G24</f>
        <v>3.4000000000000004</v>
      </c>
      <c r="H24" s="209">
        <f>C24+Feb!H24</f>
        <v>3.0979999999999999</v>
      </c>
      <c r="I24" s="210">
        <f>D24+Feb!I24</f>
        <v>3.4649999999999999</v>
      </c>
      <c r="J24" s="24">
        <f t="shared" si="2"/>
        <v>9.7482246610716805E-2</v>
      </c>
      <c r="K24" s="25">
        <f t="shared" si="3"/>
        <v>-1.8759018759018642E-2</v>
      </c>
    </row>
    <row r="25" spans="1:11">
      <c r="A25" s="7" t="s">
        <v>19</v>
      </c>
      <c r="B25" s="215">
        <v>0.7</v>
      </c>
      <c r="C25" s="215">
        <v>0.92800000000000005</v>
      </c>
      <c r="D25" s="216">
        <v>0.91800000000000004</v>
      </c>
      <c r="E25" s="73">
        <f t="shared" si="0"/>
        <v>-0.24568965517241392</v>
      </c>
      <c r="F25" s="25">
        <f t="shared" si="1"/>
        <v>-0.23747276688453167</v>
      </c>
      <c r="G25" s="209">
        <f>B25+Feb!G25</f>
        <v>2.4000000000000004</v>
      </c>
      <c r="H25" s="209">
        <f>C25+Feb!H25</f>
        <v>2.0790000000000002</v>
      </c>
      <c r="I25" s="210">
        <f>D25+Feb!I25</f>
        <v>2.54</v>
      </c>
      <c r="J25" s="24">
        <f t="shared" si="2"/>
        <v>0.15440115440115454</v>
      </c>
      <c r="K25" s="25">
        <f t="shared" si="3"/>
        <v>-5.5118110236220375E-2</v>
      </c>
    </row>
    <row r="26" spans="1:11">
      <c r="A26" s="7"/>
      <c r="B26" s="215"/>
      <c r="C26" s="215"/>
      <c r="D26" s="216"/>
      <c r="E26" s="73"/>
      <c r="F26" s="25"/>
      <c r="G26" s="209"/>
      <c r="H26" s="209">
        <f>C26+Feb!H26</f>
        <v>0</v>
      </c>
      <c r="I26" s="210">
        <f>D26+Feb!I26</f>
        <v>0</v>
      </c>
      <c r="J26" s="24"/>
      <c r="K26" s="25"/>
    </row>
    <row r="27" spans="1:11">
      <c r="A27" s="7" t="s">
        <v>20</v>
      </c>
      <c r="B27" s="215">
        <v>4.5999999999999996</v>
      </c>
      <c r="C27" s="215">
        <v>5.3390000000000004</v>
      </c>
      <c r="D27" s="216">
        <v>5.9589999999999996</v>
      </c>
      <c r="E27" s="73">
        <f>B27/C27-1</f>
        <v>-0.1384154336017982</v>
      </c>
      <c r="F27" s="25">
        <f>B27/D27-1</f>
        <v>-0.22805839906024505</v>
      </c>
      <c r="G27" s="209">
        <f>B27+Feb!G27</f>
        <v>10.199999999999999</v>
      </c>
      <c r="H27" s="209">
        <f>C27+Feb!H27</f>
        <v>10.447000000000001</v>
      </c>
      <c r="I27" s="210">
        <f>D27+Feb!I27</f>
        <v>10.53</v>
      </c>
      <c r="J27" s="24">
        <f t="shared" si="2"/>
        <v>-2.3643151143869168E-2</v>
      </c>
      <c r="K27" s="25">
        <f t="shared" si="3"/>
        <v>-3.1339031339031376E-2</v>
      </c>
    </row>
    <row r="28" spans="1:11">
      <c r="A28" s="7" t="s">
        <v>21</v>
      </c>
      <c r="B28" s="215">
        <v>1.9</v>
      </c>
      <c r="C28" s="215">
        <v>1.617</v>
      </c>
      <c r="D28" s="216">
        <v>1.6639999999999999</v>
      </c>
      <c r="E28" s="73">
        <f t="shared" si="0"/>
        <v>0.1750154607297465</v>
      </c>
      <c r="F28" s="25">
        <f t="shared" si="1"/>
        <v>0.14182692307692313</v>
      </c>
      <c r="G28" s="209">
        <f>B28+Feb!G28</f>
        <v>3.9</v>
      </c>
      <c r="H28" s="209">
        <f>C28+Feb!H28</f>
        <v>3.5369999999999999</v>
      </c>
      <c r="I28" s="210">
        <f>D28+Feb!I28</f>
        <v>3.4059999999999997</v>
      </c>
      <c r="J28" s="24">
        <f t="shared" si="2"/>
        <v>0.10262934690415615</v>
      </c>
      <c r="K28" s="25">
        <f t="shared" si="3"/>
        <v>0.14503816793893143</v>
      </c>
    </row>
    <row r="29" spans="1:11">
      <c r="A29" s="7" t="s">
        <v>22</v>
      </c>
      <c r="B29" s="215">
        <v>0.1</v>
      </c>
      <c r="C29" s="215">
        <v>0.19</v>
      </c>
      <c r="D29" s="216">
        <v>0.13700000000000001</v>
      </c>
      <c r="E29" s="73">
        <f t="shared" si="0"/>
        <v>-0.47368421052631582</v>
      </c>
      <c r="F29" s="25">
        <f t="shared" si="1"/>
        <v>-0.27007299270072993</v>
      </c>
      <c r="G29" s="209">
        <f>B29+Feb!G29</f>
        <v>0.4</v>
      </c>
      <c r="H29" s="209">
        <f>C29+Feb!H29</f>
        <v>0.57000000000000006</v>
      </c>
      <c r="I29" s="210">
        <f>D29+Feb!I29</f>
        <v>0.36</v>
      </c>
      <c r="J29" s="24">
        <f t="shared" si="2"/>
        <v>-0.29824561403508776</v>
      </c>
      <c r="K29" s="25">
        <f t="shared" si="3"/>
        <v>0.11111111111111116</v>
      </c>
    </row>
    <row r="30" spans="1:11">
      <c r="A30" s="7" t="s">
        <v>23</v>
      </c>
      <c r="B30" s="215">
        <v>0.4</v>
      </c>
      <c r="C30" s="215">
        <v>0.36</v>
      </c>
      <c r="D30" s="216">
        <v>0.41699999999999998</v>
      </c>
      <c r="E30" s="73">
        <f t="shared" si="0"/>
        <v>0.11111111111111116</v>
      </c>
      <c r="F30" s="25">
        <f t="shared" si="1"/>
        <v>-4.0767386091126956E-2</v>
      </c>
      <c r="G30" s="209">
        <f>B30+Feb!G30</f>
        <v>0.8</v>
      </c>
      <c r="H30" s="209">
        <f>C30+Feb!H30</f>
        <v>0.77100000000000002</v>
      </c>
      <c r="I30" s="210">
        <f>D30+Feb!I30</f>
        <v>0.85499999999999998</v>
      </c>
      <c r="J30" s="24">
        <f t="shared" si="2"/>
        <v>3.7613488975356768E-2</v>
      </c>
      <c r="K30" s="25">
        <f t="shared" si="3"/>
        <v>-6.43274853801169E-2</v>
      </c>
    </row>
    <row r="31" spans="1:11">
      <c r="A31" s="6" t="s">
        <v>24</v>
      </c>
      <c r="B31" s="215">
        <v>0.7</v>
      </c>
      <c r="C31" s="215">
        <v>1.099</v>
      </c>
      <c r="D31" s="216">
        <v>2.4239999999999999</v>
      </c>
      <c r="E31" s="73">
        <f t="shared" si="0"/>
        <v>-0.36305732484076436</v>
      </c>
      <c r="F31" s="25">
        <f t="shared" si="1"/>
        <v>-0.71122112211221122</v>
      </c>
      <c r="G31" s="209">
        <f>B31+Feb!G31</f>
        <v>1.2</v>
      </c>
      <c r="H31" s="209">
        <f>C31+Feb!H31</f>
        <v>1.4470000000000001</v>
      </c>
      <c r="I31" s="210">
        <f>D31+Feb!I31</f>
        <v>2.8149999999999999</v>
      </c>
      <c r="J31" s="24">
        <f t="shared" si="2"/>
        <v>-0.17069799585348999</v>
      </c>
      <c r="K31" s="25">
        <f t="shared" si="3"/>
        <v>-0.57371225577264662</v>
      </c>
    </row>
    <row r="32" spans="1:11">
      <c r="A32" s="6" t="s">
        <v>25</v>
      </c>
      <c r="B32" s="215">
        <v>0.2</v>
      </c>
      <c r="C32" s="215">
        <v>0.219</v>
      </c>
      <c r="D32" s="216">
        <v>0.184</v>
      </c>
      <c r="E32" s="73">
        <f t="shared" si="0"/>
        <v>-8.6757990867579848E-2</v>
      </c>
      <c r="F32" s="25">
        <f t="shared" si="1"/>
        <v>8.6956521739130599E-2</v>
      </c>
      <c r="G32" s="209">
        <f>B32+Feb!G32</f>
        <v>0.4</v>
      </c>
      <c r="H32" s="209">
        <f>C32+Feb!H32</f>
        <v>0.63200000000000001</v>
      </c>
      <c r="I32" s="210">
        <f>D32+Feb!I32</f>
        <v>0.41200000000000003</v>
      </c>
      <c r="J32" s="24">
        <f t="shared" si="2"/>
        <v>-0.36708860759493667</v>
      </c>
      <c r="K32" s="25">
        <f t="shared" si="3"/>
        <v>-2.9126213592232997E-2</v>
      </c>
    </row>
    <row r="33" spans="1:11">
      <c r="A33" s="7" t="s">
        <v>19</v>
      </c>
      <c r="B33" s="215">
        <v>1.3</v>
      </c>
      <c r="C33" s="215">
        <v>1.8540000000000001</v>
      </c>
      <c r="D33" s="216">
        <v>1.133</v>
      </c>
      <c r="E33" s="73">
        <f t="shared" si="0"/>
        <v>-0.29881337648327944</v>
      </c>
      <c r="F33" s="25">
        <f t="shared" si="1"/>
        <v>0.14739629302736112</v>
      </c>
      <c r="G33" s="209">
        <f>B33+Feb!G33</f>
        <v>3.4000000000000004</v>
      </c>
      <c r="H33" s="209">
        <f>C33+Feb!H33</f>
        <v>3.49</v>
      </c>
      <c r="I33" s="210">
        <f>D33+Feb!I33</f>
        <v>2.6819999999999999</v>
      </c>
      <c r="J33" s="24">
        <f t="shared" si="2"/>
        <v>-2.5787965616045794E-2</v>
      </c>
      <c r="K33" s="25">
        <f t="shared" si="3"/>
        <v>0.26771066368381824</v>
      </c>
    </row>
    <row r="34" spans="1:11">
      <c r="A34" s="2"/>
      <c r="B34" s="215"/>
      <c r="C34" s="215"/>
      <c r="D34" s="216"/>
      <c r="E34" s="73"/>
      <c r="F34" s="25"/>
      <c r="G34" s="209"/>
      <c r="H34" s="209"/>
      <c r="I34" s="210">
        <f>D34+Feb!I34</f>
        <v>0</v>
      </c>
      <c r="J34" s="24"/>
      <c r="K34" s="25"/>
    </row>
    <row r="35" spans="1:11">
      <c r="A35" s="7" t="s">
        <v>26</v>
      </c>
      <c r="B35" s="215">
        <v>166</v>
      </c>
      <c r="C35" s="215">
        <v>142.613</v>
      </c>
      <c r="D35" s="216">
        <v>145.405</v>
      </c>
      <c r="E35" s="73">
        <f t="shared" si="0"/>
        <v>0.16398925764130889</v>
      </c>
      <c r="F35" s="25">
        <f t="shared" si="1"/>
        <v>0.14163887074034598</v>
      </c>
      <c r="G35" s="209">
        <f>B35+Feb!G35</f>
        <v>410.6</v>
      </c>
      <c r="H35" s="209">
        <f>C35+Feb!H35</f>
        <v>340.798</v>
      </c>
      <c r="I35" s="210">
        <f>D35+Feb!I35</f>
        <v>350.92100000000005</v>
      </c>
      <c r="J35" s="24">
        <f t="shared" si="2"/>
        <v>0.20481927710843384</v>
      </c>
      <c r="K35" s="25">
        <f t="shared" si="3"/>
        <v>0.17006391751989747</v>
      </c>
    </row>
    <row r="36" spans="1:11">
      <c r="A36" s="7" t="s">
        <v>27</v>
      </c>
      <c r="B36" s="217">
        <v>7.2</v>
      </c>
      <c r="C36" s="215">
        <v>8.9</v>
      </c>
      <c r="D36" s="216">
        <v>7.9569999999999999</v>
      </c>
      <c r="E36" s="73">
        <f t="shared" si="0"/>
        <v>-0.1910112359550562</v>
      </c>
      <c r="F36" s="25">
        <f t="shared" si="1"/>
        <v>-9.5136357923840564E-2</v>
      </c>
      <c r="G36" s="209">
        <f>B36+Feb!G36</f>
        <v>16.599999999999998</v>
      </c>
      <c r="H36" s="209">
        <f>C36+Feb!H36</f>
        <v>17.716999999999999</v>
      </c>
      <c r="I36" s="210">
        <f>D36+Feb!I36</f>
        <v>15.722999999999999</v>
      </c>
      <c r="J36" s="24">
        <f t="shared" si="2"/>
        <v>-6.3046791217474807E-2</v>
      </c>
      <c r="K36" s="25">
        <f t="shared" si="3"/>
        <v>5.5778159384341386E-2</v>
      </c>
    </row>
    <row r="37" spans="1:11">
      <c r="A37" s="7" t="s">
        <v>28</v>
      </c>
      <c r="B37" s="217">
        <v>2</v>
      </c>
      <c r="C37" s="215">
        <v>2.274</v>
      </c>
      <c r="D37" s="216">
        <v>1.768</v>
      </c>
      <c r="E37" s="73">
        <f t="shared" si="0"/>
        <v>-0.12049252418645562</v>
      </c>
      <c r="F37" s="25">
        <f t="shared" si="1"/>
        <v>0.13122171945701355</v>
      </c>
      <c r="G37" s="209">
        <f>B37+Feb!G37</f>
        <v>4.7</v>
      </c>
      <c r="H37" s="209">
        <f>C37+Feb!H37</f>
        <v>4.524</v>
      </c>
      <c r="I37" s="210">
        <f>D37+Feb!I37</f>
        <v>3.073</v>
      </c>
      <c r="J37" s="24">
        <f t="shared" si="2"/>
        <v>3.89036251105217E-2</v>
      </c>
      <c r="K37" s="25">
        <f t="shared" si="3"/>
        <v>0.52945004881223579</v>
      </c>
    </row>
    <row r="38" spans="1:11">
      <c r="A38" s="7" t="s">
        <v>29</v>
      </c>
      <c r="B38" s="217">
        <v>2.1</v>
      </c>
      <c r="C38" s="215">
        <v>2.3559999999999999</v>
      </c>
      <c r="D38" s="216">
        <v>1.9339999999999999</v>
      </c>
      <c r="E38" s="73">
        <f t="shared" si="0"/>
        <v>-0.10865874363327666</v>
      </c>
      <c r="F38" s="25">
        <f t="shared" si="1"/>
        <v>8.5832471561530621E-2</v>
      </c>
      <c r="G38" s="209">
        <f>B38+Feb!G38</f>
        <v>4.7</v>
      </c>
      <c r="H38" s="209">
        <f>C38+Feb!H38</f>
        <v>4.548</v>
      </c>
      <c r="I38" s="210">
        <f>D38+Feb!I38</f>
        <v>4.5439999999999996</v>
      </c>
      <c r="J38" s="24">
        <f t="shared" si="2"/>
        <v>3.3421284080914715E-2</v>
      </c>
      <c r="K38" s="25">
        <f t="shared" si="3"/>
        <v>3.4330985915492995E-2</v>
      </c>
    </row>
    <row r="39" spans="1:11">
      <c r="A39" s="7" t="s">
        <v>30</v>
      </c>
      <c r="B39" s="217">
        <v>1.2</v>
      </c>
      <c r="C39" s="215">
        <v>1.361</v>
      </c>
      <c r="D39" s="216">
        <v>1.589</v>
      </c>
      <c r="E39" s="73">
        <f t="shared" si="0"/>
        <v>-0.11829537105069809</v>
      </c>
      <c r="F39" s="25">
        <f t="shared" si="1"/>
        <v>-0.24480805538074257</v>
      </c>
      <c r="G39" s="209">
        <f>B39+Feb!G39</f>
        <v>2.5999999999999996</v>
      </c>
      <c r="H39" s="209">
        <f>C39+Feb!H39</f>
        <v>2.6970000000000001</v>
      </c>
      <c r="I39" s="210">
        <f>D39+Feb!I39</f>
        <v>3.0070000000000001</v>
      </c>
      <c r="J39" s="24">
        <f t="shared" si="2"/>
        <v>-3.5965888023730241E-2</v>
      </c>
      <c r="K39" s="25">
        <f t="shared" si="3"/>
        <v>-0.13535084802128383</v>
      </c>
    </row>
    <row r="40" spans="1:11">
      <c r="A40" s="7" t="s">
        <v>31</v>
      </c>
      <c r="B40" s="217">
        <v>1.9</v>
      </c>
      <c r="C40" s="215">
        <v>2.87</v>
      </c>
      <c r="D40" s="216">
        <v>2.637</v>
      </c>
      <c r="E40" s="73">
        <f t="shared" si="0"/>
        <v>-0.33797909407665516</v>
      </c>
      <c r="F40" s="25">
        <f t="shared" si="1"/>
        <v>-0.27948426241941604</v>
      </c>
      <c r="G40" s="209">
        <f>B40+Feb!G40</f>
        <v>4.5999999999999996</v>
      </c>
      <c r="H40" s="209">
        <f>C40+Feb!H40</f>
        <v>5.8369999999999997</v>
      </c>
      <c r="I40" s="210">
        <f>D40+Feb!I40</f>
        <v>5.0050000000000008</v>
      </c>
      <c r="J40" s="24">
        <f t="shared" si="2"/>
        <v>-0.21192393352749705</v>
      </c>
      <c r="K40" s="25">
        <f t="shared" si="3"/>
        <v>-8.0919080919081177E-2</v>
      </c>
    </row>
    <row r="41" spans="1:11">
      <c r="A41" s="7" t="s">
        <v>32</v>
      </c>
      <c r="B41" s="217">
        <v>14.5</v>
      </c>
      <c r="C41" s="215">
        <v>15.2</v>
      </c>
      <c r="D41" s="216">
        <v>15.638999999999999</v>
      </c>
      <c r="E41" s="73">
        <f t="shared" si="0"/>
        <v>-4.6052631578947345E-2</v>
      </c>
      <c r="F41" s="25">
        <f t="shared" si="1"/>
        <v>-7.2830743653686247E-2</v>
      </c>
      <c r="G41" s="209">
        <f>B41+Feb!G41</f>
        <v>37.4</v>
      </c>
      <c r="H41" s="209">
        <f>C41+Feb!H41</f>
        <v>35.597999999999999</v>
      </c>
      <c r="I41" s="210">
        <f>D41+Feb!I41</f>
        <v>35.53</v>
      </c>
      <c r="J41" s="24">
        <f t="shared" si="2"/>
        <v>5.0620821394460336E-2</v>
      </c>
      <c r="K41" s="25">
        <f t="shared" si="3"/>
        <v>5.2631578947368363E-2</v>
      </c>
    </row>
    <row r="42" spans="1:11">
      <c r="A42" s="7" t="s">
        <v>33</v>
      </c>
      <c r="B42" s="217">
        <v>0.9</v>
      </c>
      <c r="C42" s="215">
        <v>0.85199999999999998</v>
      </c>
      <c r="D42" s="216">
        <v>0.71199999999999997</v>
      </c>
      <c r="E42" s="73">
        <f t="shared" si="0"/>
        <v>5.6338028169014231E-2</v>
      </c>
      <c r="F42" s="25">
        <f t="shared" si="1"/>
        <v>0.26404494382022481</v>
      </c>
      <c r="G42" s="209">
        <f>B42+Feb!G42</f>
        <v>2.1</v>
      </c>
      <c r="H42" s="209">
        <f>C42+Feb!H42</f>
        <v>1.9619999999999997</v>
      </c>
      <c r="I42" s="210">
        <f>D42+Feb!I42</f>
        <v>1.7010000000000001</v>
      </c>
      <c r="J42" s="24">
        <f t="shared" si="2"/>
        <v>7.0336391437308965E-2</v>
      </c>
      <c r="K42" s="25">
        <f t="shared" si="3"/>
        <v>0.23456790123456783</v>
      </c>
    </row>
    <row r="43" spans="1:11">
      <c r="A43" s="7" t="s">
        <v>34</v>
      </c>
      <c r="B43" s="217">
        <v>5.5</v>
      </c>
      <c r="C43" s="215">
        <v>4.0490000000000004</v>
      </c>
      <c r="D43" s="216">
        <v>3.6030000000000002</v>
      </c>
      <c r="E43" s="73">
        <f t="shared" si="0"/>
        <v>0.35836008891084203</v>
      </c>
      <c r="F43" s="25">
        <f t="shared" si="1"/>
        <v>0.52650568970302514</v>
      </c>
      <c r="G43" s="209">
        <f>B43+Feb!G43</f>
        <v>12.9</v>
      </c>
      <c r="H43" s="209">
        <f>C43+Feb!H43</f>
        <v>9.8560000000000016</v>
      </c>
      <c r="I43" s="210">
        <f>D43+Feb!I43</f>
        <v>9.6780000000000008</v>
      </c>
      <c r="J43" s="24">
        <f t="shared" si="2"/>
        <v>0.3088474025974024</v>
      </c>
      <c r="K43" s="25">
        <f t="shared" si="3"/>
        <v>0.33292002479851202</v>
      </c>
    </row>
    <row r="44" spans="1:11">
      <c r="A44" s="7" t="s">
        <v>35</v>
      </c>
      <c r="B44" s="217">
        <v>2.6</v>
      </c>
      <c r="C44" s="215">
        <v>3.0470000000000002</v>
      </c>
      <c r="D44" s="216">
        <v>2.7559999999999998</v>
      </c>
      <c r="E44" s="73">
        <f t="shared" si="0"/>
        <v>-0.14670167377748611</v>
      </c>
      <c r="F44" s="25">
        <f t="shared" si="1"/>
        <v>-5.6603773584905537E-2</v>
      </c>
      <c r="G44" s="209">
        <f>B44+Feb!G44</f>
        <v>7</v>
      </c>
      <c r="H44" s="209">
        <f>C44+Feb!H44</f>
        <v>7.0760000000000005</v>
      </c>
      <c r="I44" s="210">
        <f>D44+Feb!I44</f>
        <v>6.5570000000000004</v>
      </c>
      <c r="J44" s="24">
        <f t="shared" si="2"/>
        <v>-1.0740531373657491E-2</v>
      </c>
      <c r="K44" s="25">
        <f t="shared" si="3"/>
        <v>6.7561384779624811E-2</v>
      </c>
    </row>
    <row r="45" spans="1:11">
      <c r="A45" s="6" t="s">
        <v>36</v>
      </c>
      <c r="B45" s="217">
        <v>20.100000000000001</v>
      </c>
      <c r="C45" s="215">
        <v>18.939</v>
      </c>
      <c r="D45" s="216">
        <v>20.835999999999999</v>
      </c>
      <c r="E45" s="73">
        <f t="shared" si="0"/>
        <v>6.1302075083161878E-2</v>
      </c>
      <c r="F45" s="25">
        <f t="shared" si="1"/>
        <v>-3.5323478594739721E-2</v>
      </c>
      <c r="G45" s="209">
        <f>B45+Feb!G45</f>
        <v>54.300000000000004</v>
      </c>
      <c r="H45" s="209">
        <f>C45+Feb!H45</f>
        <v>51.811999999999998</v>
      </c>
      <c r="I45" s="210">
        <f>D45+Feb!I45</f>
        <v>52.981000000000002</v>
      </c>
      <c r="J45" s="24">
        <f t="shared" si="2"/>
        <v>4.8019763761290912E-2</v>
      </c>
      <c r="K45" s="25">
        <f t="shared" si="3"/>
        <v>2.4895717332628742E-2</v>
      </c>
    </row>
    <row r="46" spans="1:11">
      <c r="A46" s="6" t="s">
        <v>37</v>
      </c>
      <c r="B46" s="217">
        <v>8.3000000000000007</v>
      </c>
      <c r="C46" s="215">
        <v>6.9850000000000003</v>
      </c>
      <c r="D46" s="216">
        <v>7.2750000000000004</v>
      </c>
      <c r="E46" s="73">
        <f t="shared" si="0"/>
        <v>0.18826055833929844</v>
      </c>
      <c r="F46" s="25">
        <f t="shared" si="1"/>
        <v>0.14089347079037795</v>
      </c>
      <c r="G46" s="209">
        <f>B46+Feb!G46</f>
        <v>20.5</v>
      </c>
      <c r="H46" s="209">
        <f>C46+Feb!H46</f>
        <v>15.972999999999999</v>
      </c>
      <c r="I46" s="210">
        <f>D46+Feb!I46</f>
        <v>19.082999999999998</v>
      </c>
      <c r="J46" s="24">
        <f t="shared" si="2"/>
        <v>0.28341576410192215</v>
      </c>
      <c r="K46" s="25">
        <f t="shared" si="3"/>
        <v>7.4254572132264496E-2</v>
      </c>
    </row>
    <row r="47" spans="1:11">
      <c r="A47" s="7" t="s">
        <v>38</v>
      </c>
      <c r="B47" s="217">
        <v>3.5</v>
      </c>
      <c r="C47" s="215">
        <v>3.4279999999999999</v>
      </c>
      <c r="D47" s="216">
        <v>2.923</v>
      </c>
      <c r="E47" s="73">
        <f t="shared" si="0"/>
        <v>2.100350058343059E-2</v>
      </c>
      <c r="F47" s="25">
        <f t="shared" si="1"/>
        <v>0.19739993157714686</v>
      </c>
      <c r="G47" s="209">
        <f>B47+Feb!G47</f>
        <v>9.1</v>
      </c>
      <c r="H47" s="209">
        <f>C47+Feb!H47</f>
        <v>8.3679999999999986</v>
      </c>
      <c r="I47" s="210">
        <f>D47+Feb!I47</f>
        <v>7.2930000000000001</v>
      </c>
      <c r="J47" s="24">
        <f t="shared" si="2"/>
        <v>8.7476099426386345E-2</v>
      </c>
      <c r="K47" s="25">
        <f t="shared" si="3"/>
        <v>0.24777183600713015</v>
      </c>
    </row>
    <row r="48" spans="1:11">
      <c r="A48" s="7" t="s">
        <v>39</v>
      </c>
      <c r="B48" s="217">
        <v>22.7</v>
      </c>
      <c r="C48" s="215">
        <v>19.431000000000001</v>
      </c>
      <c r="D48" s="216">
        <v>17.916</v>
      </c>
      <c r="E48" s="73">
        <f t="shared" si="0"/>
        <v>0.16823632340075134</v>
      </c>
      <c r="F48" s="25">
        <f t="shared" si="1"/>
        <v>0.26702388926099574</v>
      </c>
      <c r="G48" s="209">
        <f>B48+Feb!G48</f>
        <v>47.2</v>
      </c>
      <c r="H48" s="209">
        <f>C48+Feb!H48</f>
        <v>38.546000000000006</v>
      </c>
      <c r="I48" s="210">
        <f>D48+Feb!I48</f>
        <v>36.786000000000001</v>
      </c>
      <c r="J48" s="24">
        <f t="shared" si="2"/>
        <v>0.22451097390131269</v>
      </c>
      <c r="K48" s="25">
        <f t="shared" si="3"/>
        <v>0.28309683031588118</v>
      </c>
    </row>
    <row r="49" spans="1:11">
      <c r="A49" s="7" t="s">
        <v>40</v>
      </c>
      <c r="B49" s="217">
        <v>2.5</v>
      </c>
      <c r="C49" s="215">
        <v>2.415</v>
      </c>
      <c r="D49" s="216">
        <v>2.2869999999999999</v>
      </c>
      <c r="E49" s="73">
        <f t="shared" si="0"/>
        <v>3.5196687370600444E-2</v>
      </c>
      <c r="F49" s="25">
        <f t="shared" si="1"/>
        <v>9.3135111499781376E-2</v>
      </c>
      <c r="G49" s="209">
        <f>B49+Feb!G49</f>
        <v>6.9</v>
      </c>
      <c r="H49" s="209">
        <f>C49+Feb!H49</f>
        <v>5.8979999999999997</v>
      </c>
      <c r="I49" s="210">
        <f>D49+Feb!I49</f>
        <v>5.6920000000000002</v>
      </c>
      <c r="J49" s="24">
        <f t="shared" si="2"/>
        <v>0.16988809766022395</v>
      </c>
      <c r="K49" s="25">
        <f t="shared" si="3"/>
        <v>0.21222768798313418</v>
      </c>
    </row>
    <row r="50" spans="1:11">
      <c r="A50" s="6" t="s">
        <v>41</v>
      </c>
      <c r="B50" s="217">
        <v>3.8</v>
      </c>
      <c r="C50" s="215">
        <v>3.972</v>
      </c>
      <c r="D50" s="216">
        <v>3.6240000000000001</v>
      </c>
      <c r="E50" s="73">
        <f t="shared" si="0"/>
        <v>-4.3303121852970805E-2</v>
      </c>
      <c r="F50" s="25">
        <f t="shared" si="1"/>
        <v>4.8565121412803558E-2</v>
      </c>
      <c r="G50" s="209">
        <f>B50+Feb!G50</f>
        <v>10.199999999999999</v>
      </c>
      <c r="H50" s="209">
        <f>C50+Feb!H50</f>
        <v>9.2539999999999996</v>
      </c>
      <c r="I50" s="210">
        <f>D50+Feb!I50</f>
        <v>8.7640000000000011</v>
      </c>
      <c r="J50" s="24">
        <f t="shared" si="2"/>
        <v>0.10222606440458182</v>
      </c>
      <c r="K50" s="25">
        <f t="shared" si="3"/>
        <v>0.16385212231857582</v>
      </c>
    </row>
    <row r="51" spans="1:11">
      <c r="A51" s="7" t="s">
        <v>42</v>
      </c>
      <c r="B51" s="217">
        <v>0.6</v>
      </c>
      <c r="C51" s="215">
        <v>0.65200000000000002</v>
      </c>
      <c r="D51" s="216">
        <v>0.65100000000000002</v>
      </c>
      <c r="E51" s="73">
        <f t="shared" si="0"/>
        <v>-7.975460122699396E-2</v>
      </c>
      <c r="F51" s="25">
        <f t="shared" si="1"/>
        <v>-7.8341013824884898E-2</v>
      </c>
      <c r="G51" s="209">
        <f>B51+Feb!G51</f>
        <v>1.9</v>
      </c>
      <c r="H51" s="209">
        <f>C51+Feb!H51</f>
        <v>1.8090000000000002</v>
      </c>
      <c r="I51" s="210">
        <f>D51+Feb!I51</f>
        <v>2.0499999999999998</v>
      </c>
      <c r="J51" s="24">
        <f t="shared" si="2"/>
        <v>5.0304035378662126E-2</v>
      </c>
      <c r="K51" s="25">
        <f t="shared" si="3"/>
        <v>-7.3170731707317027E-2</v>
      </c>
    </row>
    <row r="52" spans="1:11">
      <c r="A52" s="7"/>
      <c r="B52" s="217"/>
      <c r="C52" s="215"/>
      <c r="D52" s="216"/>
      <c r="E52" s="73"/>
      <c r="F52" s="25"/>
      <c r="G52" s="209"/>
      <c r="H52" s="209"/>
      <c r="I52" s="210">
        <f>D52+Feb!I52</f>
        <v>0</v>
      </c>
      <c r="J52" s="24"/>
      <c r="K52" s="25"/>
    </row>
    <row r="53" spans="1:11">
      <c r="A53" s="7" t="s">
        <v>43</v>
      </c>
      <c r="B53" s="217">
        <v>45.1</v>
      </c>
      <c r="C53" s="215">
        <v>35.314999999999998</v>
      </c>
      <c r="D53" s="216">
        <v>40.133000000000003</v>
      </c>
      <c r="E53" s="73">
        <f t="shared" si="0"/>
        <v>0.27707772901033567</v>
      </c>
      <c r="F53" s="25">
        <f t="shared" si="1"/>
        <v>0.12376348640769441</v>
      </c>
      <c r="G53" s="209">
        <f>B53+Feb!G53</f>
        <v>109.4</v>
      </c>
      <c r="H53" s="209">
        <f>C53+Feb!H53</f>
        <v>83.245999999999995</v>
      </c>
      <c r="I53" s="210">
        <f>D53+Feb!I53</f>
        <v>97.713999999999999</v>
      </c>
      <c r="J53" s="24">
        <f t="shared" si="2"/>
        <v>0.31417725776613903</v>
      </c>
      <c r="K53" s="25">
        <f t="shared" si="3"/>
        <v>0.11959391694127763</v>
      </c>
    </row>
    <row r="54" spans="1:11">
      <c r="A54" s="7" t="s">
        <v>44</v>
      </c>
      <c r="B54" s="217">
        <v>30</v>
      </c>
      <c r="C54" s="215">
        <v>22.780999999999999</v>
      </c>
      <c r="D54" s="216">
        <v>29.13</v>
      </c>
      <c r="E54" s="73">
        <f t="shared" si="0"/>
        <v>0.31688687941705806</v>
      </c>
      <c r="F54" s="25">
        <f t="shared" si="1"/>
        <v>2.9866117404737436E-2</v>
      </c>
      <c r="G54" s="209">
        <f>B54+Feb!G54</f>
        <v>70.5</v>
      </c>
      <c r="H54" s="209">
        <f>C54+Feb!H54</f>
        <v>52.356999999999999</v>
      </c>
      <c r="I54" s="210">
        <f>D54+Feb!I54</f>
        <v>68.947000000000003</v>
      </c>
      <c r="J54" s="24">
        <f t="shared" si="2"/>
        <v>0.34652481998586637</v>
      </c>
      <c r="K54" s="25">
        <f t="shared" si="3"/>
        <v>2.2524547841095366E-2</v>
      </c>
    </row>
    <row r="55" spans="1:11">
      <c r="A55" s="7" t="s">
        <v>45</v>
      </c>
      <c r="B55" s="217">
        <v>12.4</v>
      </c>
      <c r="C55" s="215">
        <v>9.7140000000000004</v>
      </c>
      <c r="D55" s="216">
        <v>8.3949999999999996</v>
      </c>
      <c r="E55" s="73">
        <f t="shared" si="0"/>
        <v>0.27650813259213503</v>
      </c>
      <c r="F55" s="25">
        <f t="shared" si="1"/>
        <v>0.47706968433591435</v>
      </c>
      <c r="G55" s="209">
        <f>B55+Feb!G55</f>
        <v>30.5</v>
      </c>
      <c r="H55" s="209">
        <f>C55+Feb!H55</f>
        <v>23.911999999999999</v>
      </c>
      <c r="I55" s="210">
        <f>D55+Feb!I55</f>
        <v>21.911000000000001</v>
      </c>
      <c r="J55" s="24">
        <f t="shared" si="2"/>
        <v>0.27551020408163263</v>
      </c>
      <c r="K55" s="25">
        <f t="shared" si="3"/>
        <v>0.39199488841221286</v>
      </c>
    </row>
    <row r="56" spans="1:11">
      <c r="A56" s="7" t="s">
        <v>46</v>
      </c>
      <c r="B56" s="217">
        <v>0.2</v>
      </c>
      <c r="C56" s="215">
        <v>1.597</v>
      </c>
      <c r="D56" s="216">
        <v>0.97599999999999998</v>
      </c>
      <c r="E56" s="73">
        <f t="shared" si="0"/>
        <v>-0.87476518472135256</v>
      </c>
      <c r="F56" s="25">
        <f t="shared" si="1"/>
        <v>-0.79508196721311475</v>
      </c>
      <c r="G56" s="209">
        <f>B56+Feb!G56</f>
        <v>2.7</v>
      </c>
      <c r="H56" s="209">
        <f>C56+Feb!H56</f>
        <v>3.7399999999999998</v>
      </c>
      <c r="I56" s="210">
        <f>D56+Feb!I56</f>
        <v>2.6480000000000001</v>
      </c>
      <c r="J56" s="24">
        <f t="shared" si="2"/>
        <v>-0.27807486631016032</v>
      </c>
      <c r="K56" s="25">
        <f t="shared" si="3"/>
        <v>1.9637462235649661E-2</v>
      </c>
    </row>
    <row r="57" spans="1:11">
      <c r="A57" s="7" t="s">
        <v>47</v>
      </c>
      <c r="B57" s="217">
        <v>0.8</v>
      </c>
      <c r="C57" s="215">
        <v>0.53800000000000003</v>
      </c>
      <c r="D57" s="216">
        <v>0.48599999999999999</v>
      </c>
      <c r="E57" s="73">
        <f t="shared" si="0"/>
        <v>0.48698884758364303</v>
      </c>
      <c r="F57" s="25">
        <f t="shared" si="1"/>
        <v>0.64609053497942392</v>
      </c>
      <c r="G57" s="209">
        <f>B57+Feb!G57</f>
        <v>2</v>
      </c>
      <c r="H57" s="209">
        <f>C57+Feb!H57</f>
        <v>1.33</v>
      </c>
      <c r="I57" s="210">
        <f>D57+Feb!I57</f>
        <v>1.381</v>
      </c>
      <c r="J57" s="24">
        <f t="shared" si="2"/>
        <v>0.50375939849624052</v>
      </c>
      <c r="K57" s="25">
        <f t="shared" si="3"/>
        <v>0.44822592324402599</v>
      </c>
    </row>
    <row r="58" spans="1:11">
      <c r="A58" s="7" t="s">
        <v>48</v>
      </c>
      <c r="B58" s="217">
        <v>0.3</v>
      </c>
      <c r="C58" s="215">
        <v>0.252</v>
      </c>
      <c r="D58" s="216">
        <v>0.25900000000000001</v>
      </c>
      <c r="E58" s="73">
        <f t="shared" si="0"/>
        <v>0.19047619047619047</v>
      </c>
      <c r="F58" s="25">
        <f t="shared" si="1"/>
        <v>0.15830115830115821</v>
      </c>
      <c r="G58" s="209">
        <f>B58+Feb!G58</f>
        <v>0.7</v>
      </c>
      <c r="H58" s="209">
        <f>C58+Feb!H58</f>
        <v>0.69300000000000006</v>
      </c>
      <c r="I58" s="210">
        <f>D58+Feb!I58</f>
        <v>0.67100000000000004</v>
      </c>
      <c r="J58" s="24">
        <f t="shared" si="2"/>
        <v>1.0101010101009944E-2</v>
      </c>
      <c r="K58" s="25">
        <f t="shared" si="3"/>
        <v>4.3219076005961199E-2</v>
      </c>
    </row>
    <row r="59" spans="1:11">
      <c r="A59" s="7" t="s">
        <v>87</v>
      </c>
      <c r="B59" s="217">
        <v>0.7</v>
      </c>
      <c r="C59" s="215">
        <v>0.375</v>
      </c>
      <c r="D59" s="216">
        <v>0.75900000000000001</v>
      </c>
      <c r="E59" s="73">
        <f t="shared" si="0"/>
        <v>0.86666666666666647</v>
      </c>
      <c r="F59" s="25">
        <f t="shared" si="1"/>
        <v>-7.7733860342556027E-2</v>
      </c>
      <c r="G59" s="209">
        <f>B59+Feb!G59</f>
        <v>1.4</v>
      </c>
      <c r="H59" s="209">
        <f>C59+Feb!H59</f>
        <v>1.0470000000000002</v>
      </c>
      <c r="I59" s="210">
        <f>D59+Feb!I59</f>
        <v>1.8220000000000001</v>
      </c>
      <c r="J59" s="24">
        <f t="shared" si="2"/>
        <v>0.33715377268385827</v>
      </c>
      <c r="K59" s="25">
        <f t="shared" si="3"/>
        <v>-0.23161361141602643</v>
      </c>
    </row>
    <row r="60" spans="1:11">
      <c r="A60" s="7" t="s">
        <v>49</v>
      </c>
      <c r="B60" s="217">
        <v>0.7</v>
      </c>
      <c r="C60" s="215">
        <v>5.8000000000000003E-2</v>
      </c>
      <c r="D60" s="216">
        <v>0.128</v>
      </c>
      <c r="E60" s="73">
        <f t="shared" si="0"/>
        <v>11.068965517241377</v>
      </c>
      <c r="F60" s="25">
        <f t="shared" si="1"/>
        <v>4.4687499999999991</v>
      </c>
      <c r="G60" s="209">
        <f>B60+Feb!G60</f>
        <v>1.6</v>
      </c>
      <c r="H60" s="209">
        <f>C60+Feb!H60</f>
        <v>0.16700000000000001</v>
      </c>
      <c r="I60" s="210">
        <f>D60+Feb!I60</f>
        <v>0.33400000000000002</v>
      </c>
      <c r="J60" s="24">
        <f t="shared" si="2"/>
        <v>8.5808383233532926</v>
      </c>
      <c r="K60" s="25">
        <f t="shared" si="3"/>
        <v>3.7904191616766463</v>
      </c>
    </row>
    <row r="61" spans="1:11">
      <c r="A61" s="2"/>
      <c r="B61" s="217"/>
      <c r="C61" s="215"/>
      <c r="D61" s="216"/>
      <c r="E61" s="73"/>
      <c r="F61" s="25"/>
      <c r="G61" s="209"/>
      <c r="H61" s="209"/>
      <c r="I61" s="210">
        <f>D61+Feb!I61</f>
        <v>0</v>
      </c>
      <c r="J61" s="24"/>
      <c r="K61" s="25"/>
    </row>
    <row r="62" spans="1:11">
      <c r="A62" s="7" t="s">
        <v>50</v>
      </c>
      <c r="B62" s="217">
        <v>1</v>
      </c>
      <c r="C62" s="215">
        <v>0.96299999999999997</v>
      </c>
      <c r="D62" s="216">
        <v>0.65200000000000002</v>
      </c>
      <c r="E62" s="73">
        <f t="shared" si="0"/>
        <v>3.8421599169262688E-2</v>
      </c>
      <c r="F62" s="25">
        <f t="shared" si="1"/>
        <v>0.53374233128834359</v>
      </c>
      <c r="G62" s="209">
        <f>B62+Feb!G62</f>
        <v>3.5999999999999996</v>
      </c>
      <c r="H62" s="209">
        <f>C62+Feb!H62</f>
        <v>2.9279999999999999</v>
      </c>
      <c r="I62" s="210">
        <f>D62+Feb!I62</f>
        <v>2.0980000000000003</v>
      </c>
      <c r="J62" s="24">
        <f t="shared" si="2"/>
        <v>0.22950819672131129</v>
      </c>
      <c r="K62" s="25">
        <f t="shared" si="3"/>
        <v>0.71591992373689184</v>
      </c>
    </row>
    <row r="63" spans="1:11">
      <c r="A63" s="7" t="s">
        <v>51</v>
      </c>
      <c r="B63" s="217">
        <v>0.4</v>
      </c>
      <c r="C63" s="215">
        <v>0.26900000000000002</v>
      </c>
      <c r="D63" s="216">
        <v>0.33200000000000002</v>
      </c>
      <c r="E63" s="73">
        <f t="shared" si="0"/>
        <v>0.48698884758364303</v>
      </c>
      <c r="F63" s="25">
        <f t="shared" si="1"/>
        <v>0.20481927710843384</v>
      </c>
      <c r="G63" s="209">
        <f>B63+Feb!G63</f>
        <v>1</v>
      </c>
      <c r="H63" s="209">
        <f>C63+Feb!H63</f>
        <v>0.79800000000000004</v>
      </c>
      <c r="I63" s="210">
        <f>D63+Feb!I63</f>
        <v>0.66500000000000004</v>
      </c>
      <c r="J63" s="24">
        <f t="shared" si="2"/>
        <v>0.25313283208020043</v>
      </c>
      <c r="K63" s="25">
        <f t="shared" si="3"/>
        <v>0.50375939849624052</v>
      </c>
    </row>
    <row r="64" spans="1:11">
      <c r="A64" s="7" t="s">
        <v>52</v>
      </c>
      <c r="B64" s="217">
        <v>1.9</v>
      </c>
      <c r="C64" s="215">
        <v>1.665</v>
      </c>
      <c r="D64" s="216">
        <v>1.036</v>
      </c>
      <c r="E64" s="73">
        <f t="shared" si="0"/>
        <v>0.14114114114114096</v>
      </c>
      <c r="F64" s="25">
        <f t="shared" si="1"/>
        <v>0.83397683397683386</v>
      </c>
      <c r="G64" s="209">
        <f>B64+Feb!G64</f>
        <v>5.6</v>
      </c>
      <c r="H64" s="209">
        <f>C64+Feb!H64</f>
        <v>4.6669999999999998</v>
      </c>
      <c r="I64" s="210">
        <f>D64+Feb!I64</f>
        <v>2.4390000000000001</v>
      </c>
      <c r="J64" s="24">
        <f t="shared" si="2"/>
        <v>0.19991429183629728</v>
      </c>
      <c r="K64" s="25">
        <f t="shared" si="3"/>
        <v>1.2960229602296023</v>
      </c>
    </row>
    <row r="65" spans="1:11">
      <c r="A65" s="7" t="s">
        <v>53</v>
      </c>
      <c r="B65" s="217">
        <v>1.5</v>
      </c>
      <c r="C65" s="215">
        <v>0.83099999999999996</v>
      </c>
      <c r="D65" s="216">
        <v>0.621</v>
      </c>
      <c r="E65" s="73">
        <f t="shared" si="0"/>
        <v>0.80505415162454885</v>
      </c>
      <c r="F65" s="25">
        <f t="shared" si="1"/>
        <v>1.4154589371980677</v>
      </c>
      <c r="G65" s="209">
        <f>B65+Feb!G65</f>
        <v>3.2</v>
      </c>
      <c r="H65" s="209">
        <f>C65+Feb!H65</f>
        <v>1.6479999999999999</v>
      </c>
      <c r="I65" s="210">
        <f>D65+Feb!I65</f>
        <v>1.1859999999999999</v>
      </c>
      <c r="J65" s="24">
        <f t="shared" si="2"/>
        <v>0.94174757281553423</v>
      </c>
      <c r="K65" s="25">
        <f t="shared" si="3"/>
        <v>1.6981450252951098</v>
      </c>
    </row>
    <row r="66" spans="1:11">
      <c r="A66" s="2"/>
      <c r="B66" s="217"/>
      <c r="C66" s="215"/>
      <c r="D66" s="216"/>
      <c r="E66" s="73"/>
      <c r="F66" s="25"/>
      <c r="G66" s="209"/>
      <c r="H66" s="209"/>
      <c r="I66" s="210">
        <f>D66+Feb!I66</f>
        <v>0</v>
      </c>
      <c r="J66" s="24"/>
      <c r="K66" s="25"/>
    </row>
    <row r="67" spans="1:11">
      <c r="A67" s="7" t="s">
        <v>54</v>
      </c>
      <c r="B67" s="217">
        <v>6.4</v>
      </c>
      <c r="C67" s="215">
        <v>4.0149999999999997</v>
      </c>
      <c r="D67" s="216">
        <v>5.0869999999999997</v>
      </c>
      <c r="E67" s="73">
        <f t="shared" si="0"/>
        <v>0.59402241594022431</v>
      </c>
      <c r="F67" s="25">
        <f t="shared" si="1"/>
        <v>0.25810890505209372</v>
      </c>
      <c r="G67" s="209">
        <f>B67+Feb!G67</f>
        <v>21.200000000000003</v>
      </c>
      <c r="H67" s="209">
        <f>C67+Feb!H67</f>
        <v>15.233000000000001</v>
      </c>
      <c r="I67" s="210">
        <f>D67+Feb!I67</f>
        <v>18.138999999999999</v>
      </c>
      <c r="J67" s="24">
        <f t="shared" si="2"/>
        <v>0.39171535482176867</v>
      </c>
      <c r="K67" s="25">
        <f t="shared" si="3"/>
        <v>0.1687524119300956</v>
      </c>
    </row>
    <row r="68" spans="1:11">
      <c r="A68" s="7" t="s">
        <v>55</v>
      </c>
      <c r="B68" s="217">
        <v>2.4</v>
      </c>
      <c r="C68" s="215">
        <v>1.8620000000000001</v>
      </c>
      <c r="D68" s="216">
        <v>1.5129999999999999</v>
      </c>
      <c r="E68" s="73">
        <f t="shared" si="0"/>
        <v>0.28893662728249181</v>
      </c>
      <c r="F68" s="25">
        <f t="shared" si="1"/>
        <v>0.5862524785194978</v>
      </c>
      <c r="G68" s="209">
        <f>B68+Feb!G68</f>
        <v>5.6</v>
      </c>
      <c r="H68" s="209">
        <f>C68+Feb!H68</f>
        <v>4.492</v>
      </c>
      <c r="I68" s="210">
        <f>D68+Feb!I68</f>
        <v>3.984</v>
      </c>
      <c r="J68" s="24">
        <f t="shared" si="2"/>
        <v>0.24666073018699897</v>
      </c>
      <c r="K68" s="25">
        <f t="shared" si="3"/>
        <v>0.40562248995983929</v>
      </c>
    </row>
    <row r="69" spans="1:11">
      <c r="A69" s="7" t="s">
        <v>56</v>
      </c>
      <c r="B69" s="217">
        <v>0.6</v>
      </c>
      <c r="C69" s="215">
        <v>0.55900000000000005</v>
      </c>
      <c r="D69" s="216">
        <v>0.51100000000000001</v>
      </c>
      <c r="E69" s="73">
        <f t="shared" si="0"/>
        <v>7.3345259391770945E-2</v>
      </c>
      <c r="F69" s="25">
        <f t="shared" si="1"/>
        <v>0.17416829745596862</v>
      </c>
      <c r="G69" s="209">
        <f>B69+Feb!G69</f>
        <v>1.2999999999999998</v>
      </c>
      <c r="H69" s="209">
        <f>C69+Feb!H69</f>
        <v>1.1840000000000002</v>
      </c>
      <c r="I69" s="210">
        <f>D69+Feb!I69</f>
        <v>0.90100000000000002</v>
      </c>
      <c r="J69" s="24">
        <f t="shared" si="2"/>
        <v>9.7972972972972583E-2</v>
      </c>
      <c r="K69" s="25">
        <f t="shared" si="3"/>
        <v>0.44284128745837936</v>
      </c>
    </row>
    <row r="70" spans="1:11">
      <c r="A70" s="7" t="s">
        <v>88</v>
      </c>
      <c r="B70" s="217">
        <v>0.3</v>
      </c>
      <c r="C70" s="215">
        <v>0.23400000000000001</v>
      </c>
      <c r="D70" s="216">
        <v>0.25700000000000001</v>
      </c>
      <c r="E70" s="73">
        <f t="shared" ref="E70:E96" si="4">B70/C70-1</f>
        <v>0.28205128205128194</v>
      </c>
      <c r="F70" s="25">
        <f t="shared" ref="F70:F96" si="5">B70/D70-1</f>
        <v>0.16731517509727611</v>
      </c>
      <c r="G70" s="209">
        <f>B70+Feb!G70</f>
        <v>0.7</v>
      </c>
      <c r="H70" s="209">
        <f>C70+Feb!H70</f>
        <v>0.53100000000000003</v>
      </c>
      <c r="I70" s="210">
        <f>D70+Feb!I70</f>
        <v>0.61699999999999999</v>
      </c>
      <c r="J70" s="24">
        <f t="shared" ref="J70:J96" si="6">G70/H70-1</f>
        <v>0.31826741996233499</v>
      </c>
      <c r="K70" s="25">
        <f t="shared" ref="K70:K96" si="7">G70/I70-1</f>
        <v>0.13452188006482979</v>
      </c>
    </row>
    <row r="71" spans="1:11">
      <c r="A71" s="7" t="s">
        <v>89</v>
      </c>
      <c r="B71" s="217">
        <v>0.5</v>
      </c>
      <c r="C71" s="215">
        <v>0.30499999999999999</v>
      </c>
      <c r="D71" s="216">
        <v>0.41299999999999998</v>
      </c>
      <c r="E71" s="73">
        <f t="shared" si="4"/>
        <v>0.63934426229508201</v>
      </c>
      <c r="F71" s="25">
        <f t="shared" si="5"/>
        <v>0.21065375302663436</v>
      </c>
      <c r="G71" s="209">
        <f>B71+Feb!G71</f>
        <v>1.5</v>
      </c>
      <c r="H71" s="209">
        <f>C71+Feb!H71</f>
        <v>0.83899999999999997</v>
      </c>
      <c r="I71" s="210">
        <f>D71+Feb!I71</f>
        <v>1.218</v>
      </c>
      <c r="J71" s="24">
        <f t="shared" si="6"/>
        <v>0.7878426698450538</v>
      </c>
      <c r="K71" s="25">
        <f t="shared" si="7"/>
        <v>0.23152709359605916</v>
      </c>
    </row>
    <row r="72" spans="1:11">
      <c r="A72" s="7" t="s">
        <v>59</v>
      </c>
      <c r="B72" s="217">
        <v>6.8</v>
      </c>
      <c r="C72" s="215">
        <v>4.2619999999999996</v>
      </c>
      <c r="D72" s="216">
        <v>3.6419999999999999</v>
      </c>
      <c r="E72" s="73">
        <f t="shared" si="4"/>
        <v>0.59549507273580482</v>
      </c>
      <c r="F72" s="25">
        <f t="shared" si="5"/>
        <v>0.8671059857221306</v>
      </c>
      <c r="G72" s="209">
        <f>B72+Feb!G72</f>
        <v>16.399999999999999</v>
      </c>
      <c r="H72" s="209">
        <f>C72+Feb!H72</f>
        <v>10.518999999999998</v>
      </c>
      <c r="I72" s="210">
        <f>D72+Feb!I72</f>
        <v>9.3229999999999986</v>
      </c>
      <c r="J72" s="24">
        <f t="shared" si="6"/>
        <v>0.55908356307633822</v>
      </c>
      <c r="K72" s="25">
        <f t="shared" si="7"/>
        <v>0.75909042153813155</v>
      </c>
    </row>
    <row r="73" spans="1:11">
      <c r="A73" s="7" t="s">
        <v>60</v>
      </c>
      <c r="B73" s="217">
        <v>0.8</v>
      </c>
      <c r="C73" s="215">
        <v>0.52100000000000002</v>
      </c>
      <c r="D73" s="216">
        <v>0.89900000000000002</v>
      </c>
      <c r="E73" s="73">
        <f t="shared" si="4"/>
        <v>0.53550863723608444</v>
      </c>
      <c r="F73" s="25">
        <f t="shared" si="5"/>
        <v>-0.11012235817575078</v>
      </c>
      <c r="G73" s="209">
        <f>B73+Feb!G73</f>
        <v>1.9000000000000001</v>
      </c>
      <c r="H73" s="209">
        <f>C73+Feb!H73</f>
        <v>1.397</v>
      </c>
      <c r="I73" s="210">
        <f>D73+Feb!I73</f>
        <v>1.7669999999999999</v>
      </c>
      <c r="J73" s="24">
        <f t="shared" si="6"/>
        <v>0.36005726556907658</v>
      </c>
      <c r="K73" s="25">
        <f t="shared" si="7"/>
        <v>7.526881720430123E-2</v>
      </c>
    </row>
    <row r="74" spans="1:11">
      <c r="A74" s="7" t="s">
        <v>61</v>
      </c>
      <c r="B74" s="217">
        <v>2.5</v>
      </c>
      <c r="C74" s="215">
        <v>1.36</v>
      </c>
      <c r="D74" s="216">
        <v>1.645</v>
      </c>
      <c r="E74" s="73">
        <f t="shared" si="4"/>
        <v>0.83823529411764697</v>
      </c>
      <c r="F74" s="25">
        <f t="shared" si="5"/>
        <v>0.51975683890577495</v>
      </c>
      <c r="G74" s="209">
        <f>B74+Feb!G74</f>
        <v>5</v>
      </c>
      <c r="H74" s="209">
        <f>C74+Feb!H74</f>
        <v>3.048</v>
      </c>
      <c r="I74" s="210">
        <f>D74+Feb!I74</f>
        <v>3.0289999999999999</v>
      </c>
      <c r="J74" s="24">
        <f t="shared" si="6"/>
        <v>0.64041994750656173</v>
      </c>
      <c r="K74" s="25">
        <f t="shared" si="7"/>
        <v>0.650709805216243</v>
      </c>
    </row>
    <row r="75" spans="1:11">
      <c r="A75" s="7" t="s">
        <v>62</v>
      </c>
      <c r="B75" s="217">
        <v>2.2999999999999998</v>
      </c>
      <c r="C75" s="215">
        <v>0.88500000000000001</v>
      </c>
      <c r="D75" s="216">
        <v>1.169</v>
      </c>
      <c r="E75" s="73">
        <f t="shared" si="4"/>
        <v>1.5988700564971747</v>
      </c>
      <c r="F75" s="25">
        <f t="shared" si="5"/>
        <v>0.96749358426005116</v>
      </c>
      <c r="G75" s="209">
        <f>B75+Feb!G75</f>
        <v>4.4000000000000004</v>
      </c>
      <c r="H75" s="209">
        <f>C75+Feb!H75</f>
        <v>1.8719999999999999</v>
      </c>
      <c r="I75" s="210">
        <f>D75+Feb!I75</f>
        <v>2.1630000000000003</v>
      </c>
      <c r="J75" s="24">
        <f t="shared" si="6"/>
        <v>1.350427350427351</v>
      </c>
      <c r="K75" s="25">
        <f t="shared" si="7"/>
        <v>1.0342117429496072</v>
      </c>
    </row>
    <row r="76" spans="1:11">
      <c r="A76" s="7" t="s">
        <v>63</v>
      </c>
      <c r="B76" s="217">
        <v>1.8</v>
      </c>
      <c r="C76" s="215">
        <v>1.363</v>
      </c>
      <c r="D76" s="216">
        <v>1.06</v>
      </c>
      <c r="E76" s="73">
        <f t="shared" si="4"/>
        <v>0.32061628760088046</v>
      </c>
      <c r="F76" s="25">
        <f t="shared" si="5"/>
        <v>0.69811320754716988</v>
      </c>
      <c r="G76" s="209">
        <f>B76+Feb!G76</f>
        <v>5.5</v>
      </c>
      <c r="H76" s="209">
        <f>C76+Feb!H76</f>
        <v>3.6139999999999999</v>
      </c>
      <c r="I76" s="210">
        <f>D76+Feb!I76</f>
        <v>3.048</v>
      </c>
      <c r="J76" s="24">
        <f t="shared" si="6"/>
        <v>0.52185943552850023</v>
      </c>
      <c r="K76" s="25">
        <f t="shared" si="7"/>
        <v>0.8044619422572179</v>
      </c>
    </row>
    <row r="77" spans="1:11">
      <c r="A77" s="7" t="s">
        <v>64</v>
      </c>
      <c r="B77" s="217">
        <v>0.5</v>
      </c>
      <c r="C77" s="215">
        <v>0.33400000000000002</v>
      </c>
      <c r="D77" s="216">
        <v>0.25600000000000001</v>
      </c>
      <c r="E77" s="73">
        <f t="shared" si="4"/>
        <v>0.49700598802395191</v>
      </c>
      <c r="F77" s="25">
        <f t="shared" si="5"/>
        <v>0.953125</v>
      </c>
      <c r="G77" s="209">
        <f>B77+Feb!G77</f>
        <v>1.4</v>
      </c>
      <c r="H77" s="209">
        <f>C77+Feb!H77</f>
        <v>0.91300000000000003</v>
      </c>
      <c r="I77" s="210">
        <f>D77+Feb!I77</f>
        <v>0.82099999999999995</v>
      </c>
      <c r="J77" s="24">
        <f t="shared" si="6"/>
        <v>0.53340635268346093</v>
      </c>
      <c r="K77" s="25">
        <f t="shared" si="7"/>
        <v>0.70523751522533495</v>
      </c>
    </row>
    <row r="78" spans="1:11">
      <c r="A78" s="7"/>
      <c r="B78" s="215"/>
      <c r="C78" s="215"/>
      <c r="D78" s="216"/>
      <c r="E78" s="73"/>
      <c r="F78" s="25"/>
      <c r="G78" s="209"/>
      <c r="H78" s="209"/>
      <c r="I78" s="210">
        <f>D78+Feb!I78</f>
        <v>0</v>
      </c>
      <c r="J78" s="24"/>
      <c r="K78" s="25"/>
    </row>
    <row r="79" spans="1:11">
      <c r="A79" s="7" t="s">
        <v>65</v>
      </c>
      <c r="B79" s="215">
        <v>71.099999999999994</v>
      </c>
      <c r="C79" s="215">
        <v>67.010000000000005</v>
      </c>
      <c r="D79" s="216">
        <v>65.34</v>
      </c>
      <c r="E79" s="73">
        <f t="shared" si="4"/>
        <v>6.1035666318459691E-2</v>
      </c>
      <c r="F79" s="25">
        <f t="shared" si="5"/>
        <v>8.8154269972451571E-2</v>
      </c>
      <c r="G79" s="209">
        <f>B79+Feb!G79</f>
        <v>200.4</v>
      </c>
      <c r="H79" s="209">
        <f>C79+Feb!H79</f>
        <v>177.81099999999998</v>
      </c>
      <c r="I79" s="210">
        <f>D79+Feb!I79</f>
        <v>171.09</v>
      </c>
      <c r="J79" s="24">
        <f t="shared" si="6"/>
        <v>0.12703938451501884</v>
      </c>
      <c r="K79" s="25">
        <f t="shared" si="7"/>
        <v>0.1713133438541119</v>
      </c>
    </row>
    <row r="80" spans="1:11">
      <c r="A80" s="7" t="s">
        <v>66</v>
      </c>
      <c r="B80" s="215">
        <v>63.2</v>
      </c>
      <c r="C80" s="215">
        <v>54.067999999999998</v>
      </c>
      <c r="D80" s="216">
        <v>51.38</v>
      </c>
      <c r="E80" s="73">
        <f t="shared" si="4"/>
        <v>0.16889842420655476</v>
      </c>
      <c r="F80" s="25">
        <f t="shared" si="5"/>
        <v>0.23005060334760596</v>
      </c>
      <c r="G80" s="209">
        <f>B80+Feb!G80</f>
        <v>160.9</v>
      </c>
      <c r="H80" s="209">
        <f>C80+Feb!H80</f>
        <v>139.70400000000001</v>
      </c>
      <c r="I80" s="210">
        <f>D80+Feb!I80</f>
        <v>131.08699999999999</v>
      </c>
      <c r="J80" s="24">
        <f t="shared" si="6"/>
        <v>0.15172078107999765</v>
      </c>
      <c r="K80" s="25">
        <f t="shared" si="7"/>
        <v>0.22742911196381055</v>
      </c>
    </row>
    <row r="81" spans="1:14">
      <c r="A81" s="7" t="s">
        <v>67</v>
      </c>
      <c r="B81" s="215">
        <v>6.4</v>
      </c>
      <c r="C81" s="215">
        <v>5.4320000000000004</v>
      </c>
      <c r="D81" s="216">
        <v>5.5490000000000004</v>
      </c>
      <c r="E81" s="73">
        <f t="shared" si="4"/>
        <v>0.1782032400589102</v>
      </c>
      <c r="F81" s="25">
        <f t="shared" si="5"/>
        <v>0.15336096593980897</v>
      </c>
      <c r="G81" s="209">
        <f>B81+Feb!G81</f>
        <v>14.6</v>
      </c>
      <c r="H81" s="209">
        <f>C81+Feb!H81</f>
        <v>12.940000000000001</v>
      </c>
      <c r="I81" s="210">
        <f>D81+Feb!I81</f>
        <v>12.557</v>
      </c>
      <c r="J81" s="24">
        <f t="shared" si="6"/>
        <v>0.12828438948995347</v>
      </c>
      <c r="K81" s="25">
        <f t="shared" si="7"/>
        <v>0.16269809667914314</v>
      </c>
    </row>
    <row r="82" spans="1:14">
      <c r="A82" s="7" t="s">
        <v>68</v>
      </c>
      <c r="B82" s="215">
        <v>1.5</v>
      </c>
      <c r="C82" s="215">
        <v>1.948</v>
      </c>
      <c r="D82" s="216">
        <v>1.762</v>
      </c>
      <c r="E82" s="73">
        <f t="shared" si="4"/>
        <v>-0.22997946611909648</v>
      </c>
      <c r="F82" s="25">
        <f t="shared" si="5"/>
        <v>-0.14869466515323493</v>
      </c>
      <c r="G82" s="209">
        <f>B82+Feb!G82</f>
        <v>3.6</v>
      </c>
      <c r="H82" s="209">
        <f>C82+Feb!H82</f>
        <v>3.9729999999999999</v>
      </c>
      <c r="I82" s="210">
        <f>D82+Feb!I82</f>
        <v>3.5390000000000001</v>
      </c>
      <c r="J82" s="24">
        <f t="shared" si="6"/>
        <v>-9.3883715076768182E-2</v>
      </c>
      <c r="K82" s="25">
        <f t="shared" si="7"/>
        <v>1.7236507487990993E-2</v>
      </c>
    </row>
    <row r="83" spans="1:14">
      <c r="A83" s="7" t="s">
        <v>69</v>
      </c>
      <c r="B83" s="215">
        <v>7.3</v>
      </c>
      <c r="C83" s="215">
        <v>5.5620000000000003</v>
      </c>
      <c r="D83" s="216">
        <v>6.649</v>
      </c>
      <c r="E83" s="73">
        <f t="shared" si="4"/>
        <v>0.31247752606975898</v>
      </c>
      <c r="F83" s="25">
        <f t="shared" si="5"/>
        <v>9.7909460069183218E-2</v>
      </c>
      <c r="G83" s="209">
        <f>B83+Feb!G83</f>
        <v>28.6</v>
      </c>
      <c r="H83" s="209">
        <f>C83+Feb!H83</f>
        <v>21.194000000000003</v>
      </c>
      <c r="I83" s="210">
        <f>D83+Feb!I83</f>
        <v>23.907</v>
      </c>
      <c r="J83" s="24">
        <f t="shared" si="6"/>
        <v>0.34943852033594403</v>
      </c>
      <c r="K83" s="25">
        <f t="shared" si="7"/>
        <v>0.19630233822729748</v>
      </c>
    </row>
    <row r="84" spans="1:14">
      <c r="A84" s="7" t="s">
        <v>70</v>
      </c>
      <c r="B84" s="215">
        <v>0.2</v>
      </c>
      <c r="C84" s="215">
        <v>0.187</v>
      </c>
      <c r="D84" s="216">
        <v>0.19800000000000001</v>
      </c>
      <c r="E84" s="73">
        <f t="shared" si="4"/>
        <v>6.9518716577540163E-2</v>
      </c>
      <c r="F84" s="25">
        <f t="shared" si="5"/>
        <v>1.0101010101010166E-2</v>
      </c>
      <c r="G84" s="209">
        <f>B84+Feb!G84</f>
        <v>0.7</v>
      </c>
      <c r="H84" s="209">
        <f>C84+Feb!H84</f>
        <v>0.72199999999999998</v>
      </c>
      <c r="I84" s="210">
        <f>D84+Feb!I84</f>
        <v>0.65399999999999991</v>
      </c>
      <c r="J84" s="24">
        <f t="shared" si="6"/>
        <v>-3.0470914127423865E-2</v>
      </c>
      <c r="K84" s="25">
        <f t="shared" si="7"/>
        <v>7.0336391437308965E-2</v>
      </c>
    </row>
    <row r="85" spans="1:14">
      <c r="A85" s="7" t="s">
        <v>71</v>
      </c>
      <c r="B85" s="215">
        <v>1.6</v>
      </c>
      <c r="C85" s="215">
        <v>1.274</v>
      </c>
      <c r="D85" s="216">
        <v>1.399</v>
      </c>
      <c r="E85" s="73">
        <f t="shared" si="4"/>
        <v>0.25588697017268447</v>
      </c>
      <c r="F85" s="25">
        <f t="shared" si="5"/>
        <v>0.14367405289492496</v>
      </c>
      <c r="G85" s="209">
        <f>B85+Feb!G85</f>
        <v>9</v>
      </c>
      <c r="H85" s="209">
        <f>C85+Feb!H85</f>
        <v>7.4580000000000002</v>
      </c>
      <c r="I85" s="210">
        <f>D85+Feb!I85</f>
        <v>6.7519999999999998</v>
      </c>
      <c r="J85" s="24">
        <f t="shared" si="6"/>
        <v>0.2067578439259854</v>
      </c>
      <c r="K85" s="25">
        <f t="shared" si="7"/>
        <v>0.33293838862559255</v>
      </c>
    </row>
    <row r="86" spans="1:14">
      <c r="A86" s="7" t="s">
        <v>72</v>
      </c>
      <c r="B86" s="215">
        <v>3</v>
      </c>
      <c r="C86" s="215">
        <v>1.7829999999999999</v>
      </c>
      <c r="D86" s="216">
        <v>2.9950000000000001</v>
      </c>
      <c r="E86" s="73">
        <f t="shared" si="4"/>
        <v>0.68255748738081889</v>
      </c>
      <c r="F86" s="25">
        <f t="shared" si="5"/>
        <v>1.6694490818029983E-3</v>
      </c>
      <c r="G86" s="209">
        <f>B86+Feb!G86</f>
        <v>10.5</v>
      </c>
      <c r="H86" s="209">
        <f>C86+Feb!H86</f>
        <v>6.1359999999999992</v>
      </c>
      <c r="I86" s="210">
        <f>D86+Feb!I86</f>
        <v>9.9250000000000007</v>
      </c>
      <c r="J86" s="24">
        <f t="shared" si="6"/>
        <v>0.71121251629726223</v>
      </c>
      <c r="K86" s="25">
        <f t="shared" si="7"/>
        <v>5.7934508816120722E-2</v>
      </c>
    </row>
    <row r="87" spans="1:14">
      <c r="A87" s="7" t="s">
        <v>73</v>
      </c>
      <c r="B87" s="215">
        <v>0.4</v>
      </c>
      <c r="C87" s="215">
        <v>0.26700000000000002</v>
      </c>
      <c r="D87" s="216">
        <v>0.25800000000000001</v>
      </c>
      <c r="E87" s="73">
        <f t="shared" si="4"/>
        <v>0.49812734082397014</v>
      </c>
      <c r="F87" s="25">
        <f t="shared" si="5"/>
        <v>0.5503875968992249</v>
      </c>
      <c r="G87" s="209">
        <f>B87+Feb!G87</f>
        <v>2</v>
      </c>
      <c r="H87" s="209">
        <f>C87+Feb!H87</f>
        <v>1.476</v>
      </c>
      <c r="I87" s="210">
        <f>D87+Feb!I87</f>
        <v>1.6800000000000002</v>
      </c>
      <c r="J87" s="24">
        <f t="shared" si="6"/>
        <v>0.3550135501355014</v>
      </c>
      <c r="K87" s="25">
        <f t="shared" si="7"/>
        <v>0.19047619047619047</v>
      </c>
    </row>
    <row r="88" spans="1:14">
      <c r="A88" s="7" t="s">
        <v>74</v>
      </c>
      <c r="B88" s="215">
        <v>0.6</v>
      </c>
      <c r="C88" s="215">
        <v>0.52700000000000002</v>
      </c>
      <c r="D88" s="216">
        <v>0.67800000000000005</v>
      </c>
      <c r="E88" s="73">
        <f t="shared" si="4"/>
        <v>0.13851992409867164</v>
      </c>
      <c r="F88" s="25">
        <f t="shared" si="5"/>
        <v>-0.11504424778761069</v>
      </c>
      <c r="G88" s="209">
        <f>B88+Feb!G88</f>
        <v>1.6</v>
      </c>
      <c r="H88" s="209">
        <f>C88+Feb!H88</f>
        <v>1.4100000000000001</v>
      </c>
      <c r="I88" s="210">
        <f>D88+Feb!I88</f>
        <v>1.5110000000000001</v>
      </c>
      <c r="J88" s="24">
        <f t="shared" si="6"/>
        <v>0.13475177304964525</v>
      </c>
      <c r="K88" s="25">
        <f t="shared" si="7"/>
        <v>5.8901389808074134E-2</v>
      </c>
      <c r="N88" s="128"/>
    </row>
    <row r="89" spans="1:14">
      <c r="A89" s="7" t="s">
        <v>75</v>
      </c>
      <c r="B89" s="215">
        <v>0.1</v>
      </c>
      <c r="C89" s="215">
        <v>0.104</v>
      </c>
      <c r="D89" s="216">
        <v>9.4E-2</v>
      </c>
      <c r="E89" s="73">
        <f t="shared" si="4"/>
        <v>-3.8461538461538325E-2</v>
      </c>
      <c r="F89" s="25">
        <f t="shared" si="5"/>
        <v>6.3829787234042534E-2</v>
      </c>
      <c r="G89" s="209">
        <f>B89+Feb!G89</f>
        <v>1.2000000000000002</v>
      </c>
      <c r="H89" s="209">
        <f>C89+Feb!H89</f>
        <v>0.23199999999999998</v>
      </c>
      <c r="I89" s="210">
        <f>D89+Feb!I89</f>
        <v>0.20200000000000001</v>
      </c>
      <c r="J89" s="24">
        <f t="shared" si="6"/>
        <v>4.1724137931034493</v>
      </c>
      <c r="K89" s="25">
        <f t="shared" si="7"/>
        <v>4.9405940594059414</v>
      </c>
    </row>
    <row r="90" spans="1:14">
      <c r="A90" s="7"/>
      <c r="B90" s="215"/>
      <c r="C90" s="215"/>
      <c r="D90" s="216"/>
      <c r="E90" s="73"/>
      <c r="F90" s="25"/>
      <c r="G90" s="209"/>
      <c r="H90" s="209"/>
      <c r="I90" s="210">
        <f>D90+Feb!I90</f>
        <v>0</v>
      </c>
      <c r="J90" s="24"/>
      <c r="K90" s="25"/>
    </row>
    <row r="91" spans="1:14">
      <c r="A91" s="7" t="s">
        <v>76</v>
      </c>
      <c r="B91" s="215">
        <v>2.4</v>
      </c>
      <c r="C91" s="215">
        <v>1.9530000000000001</v>
      </c>
      <c r="D91" s="216">
        <v>2.286</v>
      </c>
      <c r="E91" s="73">
        <f t="shared" si="4"/>
        <v>0.2288786482334868</v>
      </c>
      <c r="F91" s="25">
        <f t="shared" si="5"/>
        <v>4.986876640419946E-2</v>
      </c>
      <c r="G91" s="209">
        <f>B91+Feb!G91</f>
        <v>6.4</v>
      </c>
      <c r="H91" s="209">
        <f>C91+Feb!H91</f>
        <v>5.4</v>
      </c>
      <c r="I91" s="210">
        <f>D91+Feb!I91</f>
        <v>5.6890000000000001</v>
      </c>
      <c r="J91" s="24">
        <f t="shared" si="6"/>
        <v>0.18518518518518512</v>
      </c>
      <c r="K91" s="25">
        <f t="shared" si="7"/>
        <v>0.12497802777289513</v>
      </c>
    </row>
    <row r="92" spans="1:14">
      <c r="A92" s="7" t="s">
        <v>77</v>
      </c>
      <c r="B92" s="215">
        <v>2</v>
      </c>
      <c r="C92" s="215">
        <v>1.6890000000000001</v>
      </c>
      <c r="D92" s="216">
        <v>1.992</v>
      </c>
      <c r="E92" s="73">
        <f t="shared" si="4"/>
        <v>0.18413262285375964</v>
      </c>
      <c r="F92" s="25">
        <f t="shared" si="5"/>
        <v>4.0160642570281624E-3</v>
      </c>
      <c r="G92" s="209">
        <f>B92+Feb!G92</f>
        <v>5.6</v>
      </c>
      <c r="H92" s="209">
        <f>C92+Feb!H92</f>
        <v>4.6989999999999998</v>
      </c>
      <c r="I92" s="210">
        <f>D92+Feb!I92</f>
        <v>4.9290000000000003</v>
      </c>
      <c r="J92" s="24">
        <f t="shared" si="6"/>
        <v>0.19174292402638859</v>
      </c>
      <c r="K92" s="25">
        <f t="shared" si="7"/>
        <v>0.13613308987624251</v>
      </c>
    </row>
    <row r="93" spans="1:14">
      <c r="A93" s="7" t="s">
        <v>78</v>
      </c>
      <c r="B93" s="215">
        <v>0.3</v>
      </c>
      <c r="C93" s="215">
        <v>0.215</v>
      </c>
      <c r="D93" s="216">
        <v>0.23899999999999999</v>
      </c>
      <c r="E93" s="73">
        <f t="shared" si="4"/>
        <v>0.39534883720930236</v>
      </c>
      <c r="F93" s="25">
        <f t="shared" si="5"/>
        <v>0.2552301255230125</v>
      </c>
      <c r="G93" s="209">
        <f>B93+Feb!G93</f>
        <v>0.60000000000000009</v>
      </c>
      <c r="H93" s="209">
        <f>C93+Feb!H93</f>
        <v>0.56299999999999994</v>
      </c>
      <c r="I93" s="210">
        <f>D93+Feb!I93</f>
        <v>0.61699999999999999</v>
      </c>
      <c r="J93" s="24">
        <f t="shared" si="6"/>
        <v>6.57193605683839E-2</v>
      </c>
      <c r="K93" s="25">
        <f t="shared" si="7"/>
        <v>-2.7552674230145735E-2</v>
      </c>
    </row>
    <row r="94" spans="1:14">
      <c r="A94" s="7" t="s">
        <v>19</v>
      </c>
      <c r="B94" s="215">
        <v>0.1</v>
      </c>
      <c r="C94" s="215">
        <v>4.9000000000000002E-2</v>
      </c>
      <c r="D94" s="216">
        <v>5.5E-2</v>
      </c>
      <c r="E94" s="73">
        <f t="shared" si="4"/>
        <v>1.0408163265306123</v>
      </c>
      <c r="F94" s="25">
        <f t="shared" si="5"/>
        <v>0.81818181818181834</v>
      </c>
      <c r="G94" s="209">
        <f>B94+Feb!G94</f>
        <v>0.2</v>
      </c>
      <c r="H94" s="209">
        <f>C94+Feb!H94</f>
        <v>0.13800000000000001</v>
      </c>
      <c r="I94" s="210">
        <f>D94+Feb!I94</f>
        <v>0.14299999999999999</v>
      </c>
      <c r="J94" s="24">
        <f t="shared" si="6"/>
        <v>0.44927536231884058</v>
      </c>
      <c r="K94" s="25">
        <f t="shared" si="7"/>
        <v>0.39860139860139876</v>
      </c>
    </row>
    <row r="95" spans="1:14">
      <c r="A95" s="7"/>
      <c r="B95" s="215"/>
      <c r="C95" s="215"/>
      <c r="D95" s="216"/>
      <c r="E95" s="73"/>
      <c r="F95" s="25"/>
      <c r="G95" s="209"/>
      <c r="H95" s="209"/>
      <c r="I95" s="210">
        <f>D95+Feb!I95</f>
        <v>0</v>
      </c>
      <c r="J95" s="24"/>
      <c r="K95" s="25"/>
    </row>
    <row r="96" spans="1:14" ht="13.5" thickBot="1">
      <c r="A96" s="9" t="s">
        <v>79</v>
      </c>
      <c r="B96" s="218">
        <v>0.7</v>
      </c>
      <c r="C96" s="218">
        <v>0.71199999999999997</v>
      </c>
      <c r="D96" s="219">
        <v>0.68300000000000005</v>
      </c>
      <c r="E96" s="74">
        <f t="shared" si="4"/>
        <v>-1.6853932584269704E-2</v>
      </c>
      <c r="F96" s="27">
        <f t="shared" si="5"/>
        <v>2.4890190336749551E-2</v>
      </c>
      <c r="G96" s="209">
        <f>B96+Feb!G96</f>
        <v>1.8</v>
      </c>
      <c r="H96" s="209">
        <f>C96+Feb!H96</f>
        <v>1.9829999999999999</v>
      </c>
      <c r="I96" s="210">
        <f>D96+Feb!I96</f>
        <v>2.7860000000000005</v>
      </c>
      <c r="J96" s="26">
        <f t="shared" si="6"/>
        <v>-9.228441754916783E-2</v>
      </c>
      <c r="K96" s="27">
        <f t="shared" si="7"/>
        <v>-0.35391241923905248</v>
      </c>
    </row>
  </sheetData>
  <mergeCells count="4">
    <mergeCell ref="B3:D3"/>
    <mergeCell ref="E3:F3"/>
    <mergeCell ref="G3:I3"/>
    <mergeCell ref="J3:K3"/>
  </mergeCells>
  <conditionalFormatting sqref="E5:F96">
    <cfRule type="cellIs" dxfId="79" priority="5" operator="lessThan">
      <formula>0</formula>
    </cfRule>
    <cfRule type="cellIs" dxfId="78" priority="6" operator="greaterThan">
      <formula>0</formula>
    </cfRule>
    <cfRule type="cellIs" dxfId="77" priority="7" operator="greaterThan">
      <formula>0</formula>
    </cfRule>
    <cfRule type="cellIs" dxfId="76" priority="8" operator="lessThan">
      <formula>0</formula>
    </cfRule>
  </conditionalFormatting>
  <conditionalFormatting sqref="J5:K96">
    <cfRule type="cellIs" dxfId="75" priority="1" operator="lessThan">
      <formula>0</formula>
    </cfRule>
    <cfRule type="cellIs" dxfId="74" priority="2" operator="greaterThan">
      <formula>0</formula>
    </cfRule>
    <cfRule type="cellIs" dxfId="73" priority="3" operator="greaterThan">
      <formula>0</formula>
    </cfRule>
    <cfRule type="cellIs" dxfId="72" priority="4" operator="lessThan">
      <formula>0</formula>
    </cfRule>
  </conditionalFormatting>
  <pageMargins left="0.7" right="0.7" top="0.75" bottom="0.75" header="0.3" footer="0.3"/>
  <pageSetup paperSize="9" scale="91" orientation="portrait" r:id="rId1"/>
  <rowBreaks count="1" manualBreakCount="1">
    <brk id="5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6"/>
  <sheetViews>
    <sheetView zoomScaleNormal="100" workbookViewId="0">
      <selection activeCell="F86" sqref="F86"/>
    </sheetView>
  </sheetViews>
  <sheetFormatPr defaultColWidth="9" defaultRowHeight="12.75"/>
  <cols>
    <col min="1" max="1" width="26.28515625" style="22" customWidth="1"/>
    <col min="2" max="2" width="7.28515625" style="193" bestFit="1" customWidth="1"/>
    <col min="3" max="4" width="7.28515625" style="22" bestFit="1" customWidth="1"/>
    <col min="5" max="6" width="6.5703125" style="22" bestFit="1" customWidth="1"/>
    <col min="7" max="7" width="8.85546875" style="22" bestFit="1" customWidth="1"/>
    <col min="8" max="8" width="7.28515625" style="22" bestFit="1" customWidth="1"/>
    <col min="9" max="9" width="8" style="22" bestFit="1" customWidth="1"/>
    <col min="10" max="11" width="6.5703125" style="22" bestFit="1" customWidth="1"/>
    <col min="12" max="16384" width="9" style="22"/>
  </cols>
  <sheetData>
    <row r="1" spans="1:11">
      <c r="A1" s="8" t="s">
        <v>129</v>
      </c>
      <c r="B1" s="190"/>
      <c r="C1" s="62"/>
      <c r="D1" s="62"/>
      <c r="E1" s="62"/>
      <c r="F1" s="62"/>
      <c r="G1" s="62"/>
      <c r="H1" s="62"/>
      <c r="I1" s="62"/>
      <c r="J1" s="1"/>
    </row>
    <row r="2" spans="1:11" ht="13.5" thickBot="1">
      <c r="A2" s="1" t="s">
        <v>237</v>
      </c>
      <c r="B2" s="191"/>
      <c r="C2" s="23"/>
      <c r="D2" s="23"/>
      <c r="G2" s="23"/>
      <c r="H2" s="23"/>
      <c r="I2" s="23"/>
    </row>
    <row r="3" spans="1:11" ht="13.5" thickBot="1">
      <c r="A3" s="10"/>
      <c r="B3" s="341" t="s">
        <v>92</v>
      </c>
      <c r="C3" s="342"/>
      <c r="D3" s="343"/>
      <c r="E3" s="341" t="s">
        <v>0</v>
      </c>
      <c r="F3" s="343"/>
      <c r="G3" s="326" t="s">
        <v>93</v>
      </c>
      <c r="H3" s="331"/>
      <c r="I3" s="327"/>
      <c r="J3" s="341" t="s">
        <v>0</v>
      </c>
      <c r="K3" s="343"/>
    </row>
    <row r="4" spans="1:11" ht="13.5" thickBot="1">
      <c r="A4" s="5"/>
      <c r="B4" s="192">
        <v>2017</v>
      </c>
      <c r="C4" s="83">
        <v>2016</v>
      </c>
      <c r="D4" s="141">
        <v>2015</v>
      </c>
      <c r="E4" s="21" t="s">
        <v>214</v>
      </c>
      <c r="F4" s="21" t="s">
        <v>215</v>
      </c>
      <c r="G4" s="85">
        <v>2017</v>
      </c>
      <c r="H4" s="140">
        <v>2016</v>
      </c>
      <c r="I4" s="68">
        <v>2015</v>
      </c>
      <c r="J4" s="21" t="s">
        <v>214</v>
      </c>
      <c r="K4" s="21" t="s">
        <v>215</v>
      </c>
    </row>
    <row r="5" spans="1:11">
      <c r="A5" s="7" t="s">
        <v>1</v>
      </c>
      <c r="B5" s="220">
        <v>349.2</v>
      </c>
      <c r="C5" s="221">
        <v>253.04599999999999</v>
      </c>
      <c r="D5" s="222">
        <v>288.76900000000001</v>
      </c>
      <c r="E5" s="76">
        <f>B5/C5-1</f>
        <v>0.3799862475597322</v>
      </c>
      <c r="F5" s="18">
        <f>B5/D5-1</f>
        <v>0.20927107826671132</v>
      </c>
      <c r="G5" s="209">
        <f>B5+Mar!G5</f>
        <v>1085.9000000000001</v>
      </c>
      <c r="H5" s="209">
        <f>C5+Mar!H5</f>
        <v>849.56200000000013</v>
      </c>
      <c r="I5" s="210">
        <f>D5+Mar!I5</f>
        <v>882.87</v>
      </c>
      <c r="J5" s="17">
        <f>G5/H5-1</f>
        <v>0.27818805455046247</v>
      </c>
      <c r="K5" s="18">
        <f>G5/I5-1</f>
        <v>0.22996590664537253</v>
      </c>
    </row>
    <row r="6" spans="1:11">
      <c r="A6" s="7" t="s">
        <v>2</v>
      </c>
      <c r="B6" s="223">
        <v>37.6</v>
      </c>
      <c r="C6" s="224">
        <v>24.437999999999999</v>
      </c>
      <c r="D6" s="211">
        <v>25.375</v>
      </c>
      <c r="E6" s="73">
        <f t="shared" ref="E6:E69" si="0">B6/C6-1</f>
        <v>0.53858744578116058</v>
      </c>
      <c r="F6" s="25">
        <f t="shared" ref="F6:F69" si="1">B6/D6-1</f>
        <v>0.48177339901477834</v>
      </c>
      <c r="G6" s="209">
        <f>B6+Mar!G6</f>
        <v>137.6</v>
      </c>
      <c r="H6" s="209">
        <f>C6+Mar!H6</f>
        <v>84.515000000000001</v>
      </c>
      <c r="I6" s="210">
        <f>D6+Mar!I6</f>
        <v>78.460000000000008</v>
      </c>
      <c r="J6" s="24">
        <f t="shared" ref="J6:J69" si="2">G6/H6-1</f>
        <v>0.62811335265929125</v>
      </c>
      <c r="K6" s="25">
        <f t="shared" ref="K6:K69" si="3">G6/I6-1</f>
        <v>0.75375987764465946</v>
      </c>
    </row>
    <row r="7" spans="1:11">
      <c r="A7" s="7"/>
      <c r="B7" s="223"/>
      <c r="C7" s="224"/>
      <c r="D7" s="211"/>
      <c r="E7" s="73"/>
      <c r="F7" s="25"/>
      <c r="G7" s="209"/>
      <c r="H7" s="209"/>
      <c r="I7" s="210">
        <f>D7+Mar!I7</f>
        <v>0</v>
      </c>
      <c r="J7" s="24"/>
      <c r="K7" s="25"/>
    </row>
    <row r="8" spans="1:11">
      <c r="A8" s="7" t="s">
        <v>3</v>
      </c>
      <c r="B8" s="223">
        <v>27</v>
      </c>
      <c r="C8" s="224">
        <v>17.887</v>
      </c>
      <c r="D8" s="211">
        <v>17.841999999999999</v>
      </c>
      <c r="E8" s="73">
        <f t="shared" si="0"/>
        <v>0.5094761558673897</v>
      </c>
      <c r="F8" s="25">
        <f t="shared" si="1"/>
        <v>0.51328326420804848</v>
      </c>
      <c r="G8" s="209">
        <f>B8+Mar!G8</f>
        <v>105.1</v>
      </c>
      <c r="H8" s="209">
        <f>C8+Mar!H8</f>
        <v>64.037999999999997</v>
      </c>
      <c r="I8" s="210">
        <f>D8+Mar!I8</f>
        <v>58.455999999999996</v>
      </c>
      <c r="J8" s="24">
        <f t="shared" si="2"/>
        <v>0.64121302976357786</v>
      </c>
      <c r="K8" s="25">
        <f t="shared" si="3"/>
        <v>0.79793348843574652</v>
      </c>
    </row>
    <row r="9" spans="1:11">
      <c r="A9" s="7" t="s">
        <v>4</v>
      </c>
      <c r="B9" s="223">
        <v>6.5</v>
      </c>
      <c r="C9" s="224">
        <v>5.4180000000000001</v>
      </c>
      <c r="D9" s="211">
        <v>6.0750000000000002</v>
      </c>
      <c r="E9" s="73">
        <f t="shared" si="0"/>
        <v>0.19970468807678099</v>
      </c>
      <c r="F9" s="25">
        <f t="shared" si="1"/>
        <v>6.9958847736625529E-2</v>
      </c>
      <c r="G9" s="209">
        <f>B9+Mar!G9</f>
        <v>14.8</v>
      </c>
      <c r="H9" s="209">
        <f>C9+Mar!H9</f>
        <v>11.844000000000001</v>
      </c>
      <c r="I9" s="210">
        <f>D9+Mar!I9</f>
        <v>11.641999999999999</v>
      </c>
      <c r="J9" s="24">
        <f t="shared" si="2"/>
        <v>0.24957784532252614</v>
      </c>
      <c r="K9" s="25">
        <f t="shared" si="3"/>
        <v>0.27125923380862416</v>
      </c>
    </row>
    <row r="10" spans="1:11">
      <c r="A10" s="7" t="s">
        <v>5</v>
      </c>
      <c r="B10" s="223">
        <v>0.6</v>
      </c>
      <c r="C10" s="224">
        <v>0.30599999999999999</v>
      </c>
      <c r="D10" s="211">
        <v>0.373</v>
      </c>
      <c r="E10" s="73">
        <f t="shared" si="0"/>
        <v>0.96078431372549011</v>
      </c>
      <c r="F10" s="25">
        <f t="shared" si="1"/>
        <v>0.60857908847184983</v>
      </c>
      <c r="G10" s="209">
        <f>B10+Mar!G10</f>
        <v>2.9</v>
      </c>
      <c r="H10" s="209">
        <f>C10+Mar!H10</f>
        <v>1.7480000000000002</v>
      </c>
      <c r="I10" s="210">
        <f>D10+Mar!I10</f>
        <v>1.448</v>
      </c>
      <c r="J10" s="24">
        <f t="shared" si="2"/>
        <v>0.65903890160183032</v>
      </c>
      <c r="K10" s="25">
        <f t="shared" si="3"/>
        <v>1.0027624309392267</v>
      </c>
    </row>
    <row r="11" spans="1:11">
      <c r="A11" s="7" t="s">
        <v>6</v>
      </c>
      <c r="B11" s="223">
        <v>3</v>
      </c>
      <c r="C11" s="224">
        <v>1.8720000000000001</v>
      </c>
      <c r="D11" s="211">
        <v>1.8009999999999999</v>
      </c>
      <c r="E11" s="73">
        <f t="shared" si="0"/>
        <v>0.60256410256410242</v>
      </c>
      <c r="F11" s="25">
        <f t="shared" si="1"/>
        <v>0.66574125485841207</v>
      </c>
      <c r="G11" s="209">
        <f>B11+Mar!G11</f>
        <v>14.8</v>
      </c>
      <c r="H11" s="209">
        <f>C11+Mar!H11</f>
        <v>7.45</v>
      </c>
      <c r="I11" s="210">
        <f>D11+Mar!I11</f>
        <v>7.2130000000000001</v>
      </c>
      <c r="J11" s="24">
        <f t="shared" si="2"/>
        <v>0.98657718120805371</v>
      </c>
      <c r="K11" s="25">
        <f t="shared" si="3"/>
        <v>1.0518508248994873</v>
      </c>
    </row>
    <row r="12" spans="1:11">
      <c r="A12" s="7" t="s">
        <v>86</v>
      </c>
      <c r="B12" s="223">
        <v>0.8</v>
      </c>
      <c r="C12" s="224">
        <v>0.23400000000000001</v>
      </c>
      <c r="D12" s="211">
        <v>0.36099999999999999</v>
      </c>
      <c r="E12" s="73">
        <f t="shared" si="0"/>
        <v>2.4188034188034186</v>
      </c>
      <c r="F12" s="25">
        <f t="shared" si="1"/>
        <v>1.21606648199446</v>
      </c>
      <c r="G12" s="209">
        <f>B12+Mar!G12</f>
        <v>2</v>
      </c>
      <c r="H12" s="209">
        <f>C12+Mar!H12</f>
        <v>1.306</v>
      </c>
      <c r="I12" s="210">
        <f>D12+Mar!I12</f>
        <v>1.5</v>
      </c>
      <c r="J12" s="24">
        <f t="shared" si="2"/>
        <v>0.53139356814701366</v>
      </c>
      <c r="K12" s="25">
        <f t="shared" si="3"/>
        <v>0.33333333333333326</v>
      </c>
    </row>
    <row r="13" spans="1:11">
      <c r="A13" s="7" t="s">
        <v>8</v>
      </c>
      <c r="B13" s="223">
        <v>7.8</v>
      </c>
      <c r="C13" s="224">
        <v>4.4480000000000004</v>
      </c>
      <c r="D13" s="211">
        <v>3.4319999999999999</v>
      </c>
      <c r="E13" s="73">
        <f t="shared" si="0"/>
        <v>0.75359712230215803</v>
      </c>
      <c r="F13" s="25">
        <f t="shared" si="1"/>
        <v>1.2727272727272729</v>
      </c>
      <c r="G13" s="209">
        <f>B13+Mar!G13</f>
        <v>35.799999999999997</v>
      </c>
      <c r="H13" s="209">
        <f>C13+Mar!H13</f>
        <v>16.587</v>
      </c>
      <c r="I13" s="210">
        <f>D13+Mar!I13</f>
        <v>13.631</v>
      </c>
      <c r="J13" s="24">
        <f t="shared" si="2"/>
        <v>1.1583167540845238</v>
      </c>
      <c r="K13" s="25">
        <f t="shared" si="3"/>
        <v>1.6263663707725038</v>
      </c>
    </row>
    <row r="14" spans="1:11">
      <c r="A14" s="7" t="s">
        <v>9</v>
      </c>
      <c r="B14" s="223">
        <v>1</v>
      </c>
      <c r="C14" s="224">
        <v>0.79800000000000004</v>
      </c>
      <c r="D14" s="211">
        <v>0.70199999999999996</v>
      </c>
      <c r="E14" s="73">
        <f t="shared" si="0"/>
        <v>0.25313283208020043</v>
      </c>
      <c r="F14" s="25">
        <f t="shared" si="1"/>
        <v>0.4245014245014247</v>
      </c>
      <c r="G14" s="209">
        <f>B14+Mar!G14</f>
        <v>5.0999999999999996</v>
      </c>
      <c r="H14" s="209">
        <f>C14+Mar!H14</f>
        <v>3.5070000000000001</v>
      </c>
      <c r="I14" s="210">
        <f>D14+Mar!I14</f>
        <v>3.8270000000000004</v>
      </c>
      <c r="J14" s="24">
        <f t="shared" si="2"/>
        <v>0.45423438836612484</v>
      </c>
      <c r="K14" s="25">
        <f t="shared" si="3"/>
        <v>0.33263652991899639</v>
      </c>
    </row>
    <row r="15" spans="1:11">
      <c r="A15" s="7" t="s">
        <v>10</v>
      </c>
      <c r="B15" s="223">
        <v>0.9</v>
      </c>
      <c r="C15" s="224">
        <v>0.501</v>
      </c>
      <c r="D15" s="211">
        <v>0.42399999999999999</v>
      </c>
      <c r="E15" s="73">
        <f t="shared" si="0"/>
        <v>0.79640718562874246</v>
      </c>
      <c r="F15" s="25">
        <f t="shared" si="1"/>
        <v>1.1226415094339623</v>
      </c>
      <c r="G15" s="209">
        <f>B15+Mar!G15</f>
        <v>3.2</v>
      </c>
      <c r="H15" s="209">
        <f>C15+Mar!H15</f>
        <v>2.1959999999999997</v>
      </c>
      <c r="I15" s="210">
        <f>D15+Mar!I15</f>
        <v>2.1589999999999998</v>
      </c>
      <c r="J15" s="24">
        <f t="shared" si="2"/>
        <v>0.457194899817851</v>
      </c>
      <c r="K15" s="25">
        <f t="shared" si="3"/>
        <v>0.48216767021769358</v>
      </c>
    </row>
    <row r="16" spans="1:11">
      <c r="A16" s="7" t="s">
        <v>11</v>
      </c>
      <c r="B16" s="223">
        <v>2.9</v>
      </c>
      <c r="C16" s="224">
        <v>2.431</v>
      </c>
      <c r="D16" s="211">
        <v>2.105</v>
      </c>
      <c r="E16" s="73">
        <f t="shared" si="0"/>
        <v>0.19292472233648694</v>
      </c>
      <c r="F16" s="25">
        <f t="shared" si="1"/>
        <v>0.37767220902612819</v>
      </c>
      <c r="G16" s="209">
        <f>B16+Mar!G16</f>
        <v>15.9</v>
      </c>
      <c r="H16" s="209">
        <f>C16+Mar!H16</f>
        <v>11.876000000000001</v>
      </c>
      <c r="I16" s="210">
        <f>D16+Mar!I16</f>
        <v>10.045</v>
      </c>
      <c r="J16" s="24">
        <f t="shared" si="2"/>
        <v>0.33883462445267765</v>
      </c>
      <c r="K16" s="25">
        <f t="shared" si="3"/>
        <v>0.58287705326032846</v>
      </c>
    </row>
    <row r="17" spans="1:11">
      <c r="A17" s="7" t="s">
        <v>12</v>
      </c>
      <c r="B17" s="223">
        <v>0.9</v>
      </c>
      <c r="C17" s="224">
        <v>0.57399999999999995</v>
      </c>
      <c r="D17" s="211">
        <v>0.499</v>
      </c>
      <c r="E17" s="73">
        <f t="shared" si="0"/>
        <v>0.56794425087108036</v>
      </c>
      <c r="F17" s="25">
        <f t="shared" si="1"/>
        <v>0.80360721442885774</v>
      </c>
      <c r="G17" s="209">
        <f>B17+Mar!G17</f>
        <v>3.4</v>
      </c>
      <c r="H17" s="209">
        <f>C17+Mar!H17</f>
        <v>3.1849999999999996</v>
      </c>
      <c r="I17" s="210">
        <f>D17+Mar!I17</f>
        <v>2.5700000000000003</v>
      </c>
      <c r="J17" s="24">
        <f t="shared" si="2"/>
        <v>6.7503924646781899E-2</v>
      </c>
      <c r="K17" s="25">
        <f t="shared" si="3"/>
        <v>0.32295719844357951</v>
      </c>
    </row>
    <row r="18" spans="1:11">
      <c r="A18" s="7" t="s">
        <v>13</v>
      </c>
      <c r="B18" s="223">
        <v>0.5</v>
      </c>
      <c r="C18" s="224">
        <v>0.28000000000000003</v>
      </c>
      <c r="D18" s="211">
        <v>0.38600000000000001</v>
      </c>
      <c r="E18" s="73">
        <f t="shared" si="0"/>
        <v>0.78571428571428559</v>
      </c>
      <c r="F18" s="25">
        <f t="shared" si="1"/>
        <v>0.29533678756476678</v>
      </c>
      <c r="G18" s="209">
        <f>B18+Mar!G18</f>
        <v>1</v>
      </c>
      <c r="H18" s="209">
        <f>C18+Mar!H18</f>
        <v>0.67999999999999994</v>
      </c>
      <c r="I18" s="210">
        <f>D18+Mar!I18</f>
        <v>0.76500000000000001</v>
      </c>
      <c r="J18" s="24">
        <f t="shared" si="2"/>
        <v>0.47058823529411775</v>
      </c>
      <c r="K18" s="25">
        <f t="shared" si="3"/>
        <v>0.30718954248366015</v>
      </c>
    </row>
    <row r="19" spans="1:11">
      <c r="A19" s="7" t="s">
        <v>14</v>
      </c>
      <c r="B19" s="223">
        <v>2.1</v>
      </c>
      <c r="C19" s="224">
        <v>1.0249999999999999</v>
      </c>
      <c r="D19" s="211">
        <v>1.6839999999999999</v>
      </c>
      <c r="E19" s="73">
        <f t="shared" si="0"/>
        <v>1.0487804878048781</v>
      </c>
      <c r="F19" s="25">
        <f t="shared" si="1"/>
        <v>0.24703087885985764</v>
      </c>
      <c r="G19" s="209">
        <f>B19+Mar!G19</f>
        <v>6.1999999999999993</v>
      </c>
      <c r="H19" s="209">
        <f>C19+Mar!H19</f>
        <v>3.6589999999999998</v>
      </c>
      <c r="I19" s="210">
        <f>D19+Mar!I19</f>
        <v>3.6559999999999997</v>
      </c>
      <c r="J19" s="24">
        <f t="shared" si="2"/>
        <v>0.69445203607543027</v>
      </c>
      <c r="K19" s="25">
        <f t="shared" si="3"/>
        <v>0.69584245076586426</v>
      </c>
    </row>
    <row r="20" spans="1:11">
      <c r="A20" s="7"/>
      <c r="B20" s="223"/>
      <c r="C20" s="224"/>
      <c r="D20" s="211"/>
      <c r="E20" s="73"/>
      <c r="F20" s="25"/>
      <c r="G20" s="209"/>
      <c r="H20" s="209"/>
      <c r="I20" s="210">
        <f>D20+Mar!I20</f>
        <v>0</v>
      </c>
      <c r="J20" s="24"/>
      <c r="K20" s="25"/>
    </row>
    <row r="21" spans="1:11">
      <c r="A21" s="7" t="s">
        <v>15</v>
      </c>
      <c r="B21" s="223">
        <v>8.1999999999999993</v>
      </c>
      <c r="C21" s="224">
        <v>6.5510000000000002</v>
      </c>
      <c r="D21" s="211">
        <v>7.5330000000000004</v>
      </c>
      <c r="E21" s="73">
        <f t="shared" si="0"/>
        <v>0.25171729506945484</v>
      </c>
      <c r="F21" s="25">
        <f t="shared" si="1"/>
        <v>8.8543740873489929E-2</v>
      </c>
      <c r="G21" s="209">
        <f>B21+Mar!G21</f>
        <v>25.3</v>
      </c>
      <c r="H21" s="209">
        <f>C21+Mar!H21</f>
        <v>20.476999999999997</v>
      </c>
      <c r="I21" s="210">
        <f>D21+Mar!I21</f>
        <v>20.004000000000001</v>
      </c>
      <c r="J21" s="24">
        <f t="shared" si="2"/>
        <v>0.23553254871319074</v>
      </c>
      <c r="K21" s="25">
        <f t="shared" si="3"/>
        <v>0.2647470505898819</v>
      </c>
    </row>
    <row r="22" spans="1:11">
      <c r="A22" s="7" t="s">
        <v>16</v>
      </c>
      <c r="B22" s="223">
        <v>1.1000000000000001</v>
      </c>
      <c r="C22" s="224">
        <v>0.70299999999999996</v>
      </c>
      <c r="D22" s="211">
        <v>0.76900000000000002</v>
      </c>
      <c r="E22" s="73">
        <f t="shared" si="0"/>
        <v>0.5647226173541966</v>
      </c>
      <c r="F22" s="25">
        <f t="shared" si="1"/>
        <v>0.43042912873862171</v>
      </c>
      <c r="G22" s="209">
        <f>B22+Mar!G22</f>
        <v>2.9000000000000004</v>
      </c>
      <c r="H22" s="209">
        <f>C22+Mar!H22</f>
        <v>1.9939999999999998</v>
      </c>
      <c r="I22" s="210">
        <f>D22+Mar!I22</f>
        <v>1.8919999999999999</v>
      </c>
      <c r="J22" s="24">
        <f t="shared" si="2"/>
        <v>0.45436308926780367</v>
      </c>
      <c r="K22" s="25">
        <f t="shared" si="3"/>
        <v>0.53276955602537024</v>
      </c>
    </row>
    <row r="23" spans="1:11">
      <c r="A23" s="7" t="s">
        <v>17</v>
      </c>
      <c r="B23" s="223">
        <v>4.0999999999999996</v>
      </c>
      <c r="C23" s="224">
        <v>2.4809999999999999</v>
      </c>
      <c r="D23" s="211">
        <v>3.1139999999999999</v>
      </c>
      <c r="E23" s="73">
        <f t="shared" si="0"/>
        <v>0.65255945183393793</v>
      </c>
      <c r="F23" s="25">
        <f t="shared" si="1"/>
        <v>0.31663455362877313</v>
      </c>
      <c r="G23" s="209">
        <f>B23+Mar!G23</f>
        <v>13.6</v>
      </c>
      <c r="H23" s="209">
        <f>C23+Mar!H23</f>
        <v>9.9390000000000001</v>
      </c>
      <c r="I23" s="210">
        <f>D23+Mar!I23</f>
        <v>8.4570000000000007</v>
      </c>
      <c r="J23" s="24">
        <f t="shared" si="2"/>
        <v>0.36834691618875137</v>
      </c>
      <c r="K23" s="25">
        <f t="shared" si="3"/>
        <v>0.60813527255527955</v>
      </c>
    </row>
    <row r="24" spans="1:11">
      <c r="A24" s="7" t="s">
        <v>18</v>
      </c>
      <c r="B24" s="223">
        <v>1.2</v>
      </c>
      <c r="C24" s="224">
        <v>1.446</v>
      </c>
      <c r="D24" s="211">
        <v>1.958</v>
      </c>
      <c r="E24" s="73">
        <f t="shared" si="0"/>
        <v>-0.17012448132780078</v>
      </c>
      <c r="F24" s="25">
        <f t="shared" si="1"/>
        <v>-0.38712972420837588</v>
      </c>
      <c r="G24" s="209">
        <f>B24+Mar!G24</f>
        <v>4.6000000000000005</v>
      </c>
      <c r="H24" s="209">
        <f>C24+Mar!H24</f>
        <v>4.5439999999999996</v>
      </c>
      <c r="I24" s="210">
        <f>D24+Mar!I24</f>
        <v>5.423</v>
      </c>
      <c r="J24" s="24">
        <f t="shared" si="2"/>
        <v>1.2323943661971981E-2</v>
      </c>
      <c r="K24" s="25">
        <f t="shared" si="3"/>
        <v>-0.15176101788677843</v>
      </c>
    </row>
    <row r="25" spans="1:11">
      <c r="A25" s="7" t="s">
        <v>19</v>
      </c>
      <c r="B25" s="223">
        <v>1.8</v>
      </c>
      <c r="C25" s="224">
        <v>1.921</v>
      </c>
      <c r="D25" s="211">
        <v>1.6919999999999999</v>
      </c>
      <c r="E25" s="73">
        <f t="shared" si="0"/>
        <v>-6.2988027069234787E-2</v>
      </c>
      <c r="F25" s="25">
        <f t="shared" si="1"/>
        <v>6.3829787234042534E-2</v>
      </c>
      <c r="G25" s="209">
        <f>B25+Mar!G25</f>
        <v>4.2</v>
      </c>
      <c r="H25" s="209">
        <f>C25+Mar!H25</f>
        <v>4</v>
      </c>
      <c r="I25" s="210">
        <f>D25+Mar!I25</f>
        <v>4.2320000000000002</v>
      </c>
      <c r="J25" s="24">
        <f t="shared" si="2"/>
        <v>5.0000000000000044E-2</v>
      </c>
      <c r="K25" s="25">
        <f t="shared" si="3"/>
        <v>-7.5614366729678251E-3</v>
      </c>
    </row>
    <row r="26" spans="1:11">
      <c r="A26" s="7"/>
      <c r="B26" s="223"/>
      <c r="C26" s="224"/>
      <c r="D26" s="211"/>
      <c r="E26" s="73"/>
      <c r="F26" s="25"/>
      <c r="G26" s="209"/>
      <c r="H26" s="209"/>
      <c r="I26" s="210">
        <f>D26+Mar!I26</f>
        <v>0</v>
      </c>
      <c r="J26" s="24"/>
      <c r="K26" s="25"/>
    </row>
    <row r="27" spans="1:11">
      <c r="A27" s="7" t="s">
        <v>20</v>
      </c>
      <c r="B27" s="223">
        <v>12.2</v>
      </c>
      <c r="C27" s="224">
        <v>11.972</v>
      </c>
      <c r="D27" s="211">
        <v>11.324999999999999</v>
      </c>
      <c r="E27" s="73">
        <f t="shared" si="0"/>
        <v>1.9044437019712701E-2</v>
      </c>
      <c r="F27" s="25">
        <f t="shared" si="1"/>
        <v>7.7262693156732842E-2</v>
      </c>
      <c r="G27" s="209">
        <f>B27+Mar!G27</f>
        <v>22.4</v>
      </c>
      <c r="H27" s="209">
        <f>C27+Mar!H27</f>
        <v>22.419</v>
      </c>
      <c r="I27" s="210">
        <f>D27+Mar!I27</f>
        <v>21.854999999999997</v>
      </c>
      <c r="J27" s="24">
        <f t="shared" si="2"/>
        <v>-8.4749542798523425E-4</v>
      </c>
      <c r="K27" s="25">
        <f t="shared" si="3"/>
        <v>2.4937085335163589E-2</v>
      </c>
    </row>
    <row r="28" spans="1:11">
      <c r="A28" s="7" t="s">
        <v>21</v>
      </c>
      <c r="B28" s="223">
        <v>2.5</v>
      </c>
      <c r="C28" s="224">
        <v>1.4019999999999999</v>
      </c>
      <c r="D28" s="211">
        <v>1.9530000000000001</v>
      </c>
      <c r="E28" s="73">
        <f t="shared" si="0"/>
        <v>0.78316690442225401</v>
      </c>
      <c r="F28" s="25">
        <f t="shared" si="1"/>
        <v>0.28008192524321562</v>
      </c>
      <c r="G28" s="209">
        <f>B28+Mar!G28</f>
        <v>6.4</v>
      </c>
      <c r="H28" s="209">
        <f>C28+Mar!H28</f>
        <v>4.9390000000000001</v>
      </c>
      <c r="I28" s="210">
        <f>D28+Mar!I28</f>
        <v>5.359</v>
      </c>
      <c r="J28" s="24">
        <f t="shared" si="2"/>
        <v>0.29580886819194174</v>
      </c>
      <c r="K28" s="25">
        <f t="shared" si="3"/>
        <v>0.19425265907818634</v>
      </c>
    </row>
    <row r="29" spans="1:11">
      <c r="A29" s="7" t="s">
        <v>22</v>
      </c>
      <c r="B29" s="223">
        <v>5.0999999999999996</v>
      </c>
      <c r="C29" s="224">
        <v>6.7549999999999999</v>
      </c>
      <c r="D29" s="211">
        <v>4.6230000000000002</v>
      </c>
      <c r="E29" s="73">
        <f t="shared" si="0"/>
        <v>-0.24500370096225021</v>
      </c>
      <c r="F29" s="25">
        <f t="shared" si="1"/>
        <v>0.10317975340687857</v>
      </c>
      <c r="G29" s="209">
        <f>B29+Mar!G29</f>
        <v>5.5</v>
      </c>
      <c r="H29" s="209">
        <f>C29+Mar!H29</f>
        <v>7.3250000000000002</v>
      </c>
      <c r="I29" s="210">
        <f>D29+Mar!I29</f>
        <v>4.9830000000000005</v>
      </c>
      <c r="J29" s="24">
        <f t="shared" si="2"/>
        <v>-0.24914675767918093</v>
      </c>
      <c r="K29" s="25">
        <f t="shared" si="3"/>
        <v>0.10375275938189832</v>
      </c>
    </row>
    <row r="30" spans="1:11">
      <c r="A30" s="7" t="s">
        <v>23</v>
      </c>
      <c r="B30" s="223">
        <v>0.4</v>
      </c>
      <c r="C30" s="224">
        <v>0.34499999999999997</v>
      </c>
      <c r="D30" s="211">
        <v>0.38400000000000001</v>
      </c>
      <c r="E30" s="73">
        <f t="shared" si="0"/>
        <v>0.15942028985507273</v>
      </c>
      <c r="F30" s="25">
        <f t="shared" si="1"/>
        <v>4.1666666666666741E-2</v>
      </c>
      <c r="G30" s="209">
        <f>B30+Mar!G30</f>
        <v>1.2000000000000002</v>
      </c>
      <c r="H30" s="209">
        <f>C30+Mar!H30</f>
        <v>1.1160000000000001</v>
      </c>
      <c r="I30" s="210">
        <f>D30+Mar!I30</f>
        <v>1.2389999999999999</v>
      </c>
      <c r="J30" s="24">
        <f t="shared" si="2"/>
        <v>7.526881720430123E-2</v>
      </c>
      <c r="K30" s="25">
        <f t="shared" si="3"/>
        <v>-3.1476997578692267E-2</v>
      </c>
    </row>
    <row r="31" spans="1:11">
      <c r="A31" s="6" t="s">
        <v>24</v>
      </c>
      <c r="B31" s="223">
        <v>0.2</v>
      </c>
      <c r="C31" s="224">
        <v>0.58399999999999996</v>
      </c>
      <c r="D31" s="211">
        <v>0.65500000000000003</v>
      </c>
      <c r="E31" s="73">
        <f t="shared" si="0"/>
        <v>-0.65753424657534243</v>
      </c>
      <c r="F31" s="25">
        <f t="shared" si="1"/>
        <v>-0.69465648854961826</v>
      </c>
      <c r="G31" s="209">
        <f>B31+Mar!G31</f>
        <v>1.4</v>
      </c>
      <c r="H31" s="209">
        <f>C31+Mar!H31</f>
        <v>2.0310000000000001</v>
      </c>
      <c r="I31" s="210">
        <f>D31+Mar!I31</f>
        <v>3.4699999999999998</v>
      </c>
      <c r="J31" s="24">
        <f t="shared" si="2"/>
        <v>-0.31068439192516006</v>
      </c>
      <c r="K31" s="25">
        <f t="shared" si="3"/>
        <v>-0.59654178674351588</v>
      </c>
    </row>
    <row r="32" spans="1:11">
      <c r="A32" s="6" t="s">
        <v>25</v>
      </c>
      <c r="B32" s="223">
        <v>0.4</v>
      </c>
      <c r="C32" s="224">
        <v>0.23400000000000001</v>
      </c>
      <c r="D32" s="211">
        <v>0.61299999999999999</v>
      </c>
      <c r="E32" s="73">
        <f t="shared" si="0"/>
        <v>0.70940170940170932</v>
      </c>
      <c r="F32" s="25">
        <f t="shared" si="1"/>
        <v>-0.34747145187601958</v>
      </c>
      <c r="G32" s="209">
        <f>B32+Mar!G32</f>
        <v>0.8</v>
      </c>
      <c r="H32" s="209">
        <f>C32+Mar!H32</f>
        <v>0.86599999999999999</v>
      </c>
      <c r="I32" s="210">
        <f>D32+Mar!I32</f>
        <v>1.0249999999999999</v>
      </c>
      <c r="J32" s="24">
        <f t="shared" si="2"/>
        <v>-7.6212471131639647E-2</v>
      </c>
      <c r="K32" s="25">
        <f t="shared" si="3"/>
        <v>-0.21951219512195108</v>
      </c>
    </row>
    <row r="33" spans="1:11">
      <c r="A33" s="7" t="s">
        <v>19</v>
      </c>
      <c r="B33" s="223">
        <v>3.6</v>
      </c>
      <c r="C33" s="224">
        <v>2.6520000000000001</v>
      </c>
      <c r="D33" s="211">
        <v>3.097</v>
      </c>
      <c r="E33" s="73">
        <f t="shared" si="0"/>
        <v>0.35746606334841635</v>
      </c>
      <c r="F33" s="25">
        <f t="shared" si="1"/>
        <v>0.16241524055537626</v>
      </c>
      <c r="G33" s="209">
        <f>B33+Mar!G33</f>
        <v>7</v>
      </c>
      <c r="H33" s="209">
        <f>C33+Mar!H33</f>
        <v>6.1420000000000003</v>
      </c>
      <c r="I33" s="210">
        <f>D33+Mar!I33</f>
        <v>5.7789999999999999</v>
      </c>
      <c r="J33" s="24">
        <f t="shared" si="2"/>
        <v>0.139693910778248</v>
      </c>
      <c r="K33" s="25">
        <f t="shared" si="3"/>
        <v>0.21128222875930103</v>
      </c>
    </row>
    <row r="34" spans="1:11">
      <c r="A34" s="2"/>
      <c r="B34" s="223"/>
      <c r="C34" s="224"/>
      <c r="D34" s="211"/>
      <c r="E34" s="73"/>
      <c r="F34" s="25"/>
      <c r="G34" s="209"/>
      <c r="H34" s="209"/>
      <c r="I34" s="210">
        <f>D34+Mar!I34</f>
        <v>0</v>
      </c>
      <c r="J34" s="24"/>
      <c r="K34" s="25"/>
    </row>
    <row r="35" spans="1:11">
      <c r="A35" s="7" t="s">
        <v>26</v>
      </c>
      <c r="B35" s="223">
        <v>204.7</v>
      </c>
      <c r="C35" s="224">
        <v>152.11799999999999</v>
      </c>
      <c r="D35" s="211">
        <v>174.273</v>
      </c>
      <c r="E35" s="73">
        <f t="shared" si="0"/>
        <v>0.34566586465769999</v>
      </c>
      <c r="F35" s="25">
        <f t="shared" si="1"/>
        <v>0.17459388430795353</v>
      </c>
      <c r="G35" s="209">
        <f>B35+Mar!G35</f>
        <v>615.29999999999995</v>
      </c>
      <c r="H35" s="209">
        <f>C35+Mar!H35</f>
        <v>492.916</v>
      </c>
      <c r="I35" s="210">
        <f>D35+Mar!I35</f>
        <v>525.19400000000007</v>
      </c>
      <c r="J35" s="24">
        <f t="shared" si="2"/>
        <v>0.24828571196715044</v>
      </c>
      <c r="K35" s="25">
        <f t="shared" si="3"/>
        <v>0.17156707807019855</v>
      </c>
    </row>
    <row r="36" spans="1:11">
      <c r="A36" s="7" t="s">
        <v>27</v>
      </c>
      <c r="B36" s="223">
        <v>8.4</v>
      </c>
      <c r="C36" s="224">
        <v>5.89</v>
      </c>
      <c r="D36" s="211">
        <v>7.6020000000000003</v>
      </c>
      <c r="E36" s="73">
        <f t="shared" si="0"/>
        <v>0.42614601018675735</v>
      </c>
      <c r="F36" s="25">
        <f t="shared" si="1"/>
        <v>0.1049723756906078</v>
      </c>
      <c r="G36" s="209">
        <f>B36+Mar!G36</f>
        <v>25</v>
      </c>
      <c r="H36" s="209">
        <f>C36+Mar!H36</f>
        <v>23.606999999999999</v>
      </c>
      <c r="I36" s="210">
        <f>D36+Mar!I36</f>
        <v>23.324999999999999</v>
      </c>
      <c r="J36" s="24">
        <f t="shared" si="2"/>
        <v>5.9007921379252037E-2</v>
      </c>
      <c r="K36" s="25">
        <f t="shared" si="3"/>
        <v>7.1811361200428747E-2</v>
      </c>
    </row>
    <row r="37" spans="1:11">
      <c r="A37" s="7" t="s">
        <v>28</v>
      </c>
      <c r="B37" s="223">
        <v>1.7</v>
      </c>
      <c r="C37" s="224">
        <v>1.256</v>
      </c>
      <c r="D37" s="211">
        <v>1.38</v>
      </c>
      <c r="E37" s="73">
        <f t="shared" si="0"/>
        <v>0.35350318471337583</v>
      </c>
      <c r="F37" s="25">
        <f t="shared" si="1"/>
        <v>0.23188405797101463</v>
      </c>
      <c r="G37" s="209">
        <f>B37+Mar!G37</f>
        <v>6.4</v>
      </c>
      <c r="H37" s="209">
        <f>C37+Mar!H37</f>
        <v>5.78</v>
      </c>
      <c r="I37" s="210">
        <f>D37+Mar!I37</f>
        <v>4.4529999999999994</v>
      </c>
      <c r="J37" s="24">
        <f t="shared" si="2"/>
        <v>0.10726643598615926</v>
      </c>
      <c r="K37" s="25">
        <f t="shared" si="3"/>
        <v>0.43723332584774344</v>
      </c>
    </row>
    <row r="38" spans="1:11">
      <c r="A38" s="7" t="s">
        <v>29</v>
      </c>
      <c r="B38" s="223">
        <v>3.2</v>
      </c>
      <c r="C38" s="224">
        <v>2.2919999999999998</v>
      </c>
      <c r="D38" s="211">
        <v>3.3439999999999999</v>
      </c>
      <c r="E38" s="73">
        <f t="shared" si="0"/>
        <v>0.3961605584642236</v>
      </c>
      <c r="F38" s="25">
        <f t="shared" si="1"/>
        <v>-4.3062200956937691E-2</v>
      </c>
      <c r="G38" s="209">
        <f>B38+Mar!G38</f>
        <v>7.9</v>
      </c>
      <c r="H38" s="209">
        <f>C38+Mar!H38</f>
        <v>6.84</v>
      </c>
      <c r="I38" s="210">
        <f>D38+Mar!I38</f>
        <v>7.8879999999999999</v>
      </c>
      <c r="J38" s="24">
        <f t="shared" si="2"/>
        <v>0.15497076023391831</v>
      </c>
      <c r="K38" s="25">
        <f t="shared" si="3"/>
        <v>1.5212981744423537E-3</v>
      </c>
    </row>
    <row r="39" spans="1:11">
      <c r="A39" s="7" t="s">
        <v>30</v>
      </c>
      <c r="B39" s="223">
        <v>1.5</v>
      </c>
      <c r="C39" s="224">
        <v>0.87</v>
      </c>
      <c r="D39" s="211">
        <v>1.099</v>
      </c>
      <c r="E39" s="73">
        <f t="shared" si="0"/>
        <v>0.72413793103448287</v>
      </c>
      <c r="F39" s="25">
        <f t="shared" si="1"/>
        <v>0.36487716105550505</v>
      </c>
      <c r="G39" s="209">
        <f>B39+Mar!G39</f>
        <v>4.0999999999999996</v>
      </c>
      <c r="H39" s="209">
        <f>C39+Mar!H39</f>
        <v>3.5670000000000002</v>
      </c>
      <c r="I39" s="210">
        <f>D39+Mar!I39</f>
        <v>4.1059999999999999</v>
      </c>
      <c r="J39" s="24">
        <f t="shared" si="2"/>
        <v>0.14942528735632177</v>
      </c>
      <c r="K39" s="25">
        <f t="shared" si="3"/>
        <v>-1.4612761811982899E-3</v>
      </c>
    </row>
    <row r="40" spans="1:11">
      <c r="A40" s="7" t="s">
        <v>31</v>
      </c>
      <c r="B40" s="223">
        <v>2</v>
      </c>
      <c r="C40" s="224">
        <v>1.4470000000000001</v>
      </c>
      <c r="D40" s="211">
        <v>1.7450000000000001</v>
      </c>
      <c r="E40" s="73">
        <f t="shared" si="0"/>
        <v>0.38217000691085001</v>
      </c>
      <c r="F40" s="25">
        <f t="shared" si="1"/>
        <v>0.14613180515759305</v>
      </c>
      <c r="G40" s="209">
        <f>B40+Mar!G40</f>
        <v>6.6</v>
      </c>
      <c r="H40" s="209">
        <f>C40+Mar!H40</f>
        <v>7.2839999999999998</v>
      </c>
      <c r="I40" s="210">
        <f>D40+Mar!I40</f>
        <v>6.7500000000000009</v>
      </c>
      <c r="J40" s="24">
        <f t="shared" si="2"/>
        <v>-9.3904448105436633E-2</v>
      </c>
      <c r="K40" s="25">
        <f t="shared" si="3"/>
        <v>-2.2222222222222365E-2</v>
      </c>
    </row>
    <row r="41" spans="1:11">
      <c r="A41" s="7" t="s">
        <v>32</v>
      </c>
      <c r="B41" s="223">
        <v>22.4</v>
      </c>
      <c r="C41" s="224">
        <v>15.343999999999999</v>
      </c>
      <c r="D41" s="211">
        <v>18.419</v>
      </c>
      <c r="E41" s="73">
        <f t="shared" si="0"/>
        <v>0.45985401459854014</v>
      </c>
      <c r="F41" s="25">
        <f t="shared" si="1"/>
        <v>0.21613551224279259</v>
      </c>
      <c r="G41" s="209">
        <f>B41+Mar!G41</f>
        <v>59.8</v>
      </c>
      <c r="H41" s="209">
        <f>C41+Mar!H41</f>
        <v>50.942</v>
      </c>
      <c r="I41" s="210">
        <f>D41+Mar!I41</f>
        <v>53.948999999999998</v>
      </c>
      <c r="J41" s="24">
        <f t="shared" si="2"/>
        <v>0.17388402496957323</v>
      </c>
      <c r="K41" s="25">
        <f t="shared" si="3"/>
        <v>0.10845428089491915</v>
      </c>
    </row>
    <row r="42" spans="1:11">
      <c r="A42" s="7" t="s">
        <v>33</v>
      </c>
      <c r="B42" s="223">
        <v>1</v>
      </c>
      <c r="C42" s="224">
        <v>0.85299999999999998</v>
      </c>
      <c r="D42" s="211">
        <v>0.745</v>
      </c>
      <c r="E42" s="73">
        <f t="shared" si="0"/>
        <v>0.17233294255568588</v>
      </c>
      <c r="F42" s="25">
        <f t="shared" si="1"/>
        <v>0.34228187919463093</v>
      </c>
      <c r="G42" s="209">
        <f>B42+Mar!G42</f>
        <v>3.1</v>
      </c>
      <c r="H42" s="209">
        <f>C42+Mar!H42</f>
        <v>2.8149999999999995</v>
      </c>
      <c r="I42" s="210">
        <f>D42+Mar!I42</f>
        <v>2.4460000000000002</v>
      </c>
      <c r="J42" s="24">
        <f t="shared" si="2"/>
        <v>0.10124333925399664</v>
      </c>
      <c r="K42" s="25">
        <f t="shared" si="3"/>
        <v>0.26737530662305797</v>
      </c>
    </row>
    <row r="43" spans="1:11">
      <c r="A43" s="7" t="s">
        <v>34</v>
      </c>
      <c r="B43" s="223">
        <v>8.8000000000000007</v>
      </c>
      <c r="C43" s="224">
        <v>6.2629999999999999</v>
      </c>
      <c r="D43" s="211">
        <v>5.5970000000000004</v>
      </c>
      <c r="E43" s="73">
        <f t="shared" si="0"/>
        <v>0.40507743892703196</v>
      </c>
      <c r="F43" s="25">
        <f t="shared" si="1"/>
        <v>0.57227085938895828</v>
      </c>
      <c r="G43" s="209">
        <f>B43+Mar!G43</f>
        <v>21.700000000000003</v>
      </c>
      <c r="H43" s="209">
        <f>C43+Mar!H43</f>
        <v>16.119</v>
      </c>
      <c r="I43" s="210">
        <f>D43+Mar!I43</f>
        <v>15.275000000000002</v>
      </c>
      <c r="J43" s="24">
        <f t="shared" si="2"/>
        <v>0.34623735963769486</v>
      </c>
      <c r="K43" s="25">
        <f t="shared" si="3"/>
        <v>0.42062193126022906</v>
      </c>
    </row>
    <row r="44" spans="1:11">
      <c r="A44" s="7" t="s">
        <v>35</v>
      </c>
      <c r="B44" s="223">
        <v>4.5999999999999996</v>
      </c>
      <c r="C44" s="224">
        <v>2.9359999999999999</v>
      </c>
      <c r="D44" s="211">
        <v>4.0199999999999996</v>
      </c>
      <c r="E44" s="73">
        <f t="shared" si="0"/>
        <v>0.56675749318801083</v>
      </c>
      <c r="F44" s="25">
        <f t="shared" si="1"/>
        <v>0.14427860696517425</v>
      </c>
      <c r="G44" s="209">
        <f>B44+Mar!G44</f>
        <v>11.6</v>
      </c>
      <c r="H44" s="209">
        <f>C44+Mar!H44</f>
        <v>10.012</v>
      </c>
      <c r="I44" s="210">
        <f>D44+Mar!I44</f>
        <v>10.577</v>
      </c>
      <c r="J44" s="24">
        <f t="shared" si="2"/>
        <v>0.15860966839792234</v>
      </c>
      <c r="K44" s="25">
        <f t="shared" si="3"/>
        <v>9.6719296586933901E-2</v>
      </c>
    </row>
    <row r="45" spans="1:11">
      <c r="A45" s="6" t="s">
        <v>36</v>
      </c>
      <c r="B45" s="223">
        <v>35.299999999999997</v>
      </c>
      <c r="C45" s="224">
        <v>32.533999999999999</v>
      </c>
      <c r="D45" s="211">
        <v>32.832999999999998</v>
      </c>
      <c r="E45" s="73">
        <f t="shared" si="0"/>
        <v>8.5018749615786593E-2</v>
      </c>
      <c r="F45" s="25">
        <f t="shared" si="1"/>
        <v>7.5137818658057354E-2</v>
      </c>
      <c r="G45" s="209">
        <f>B45+Mar!G45</f>
        <v>89.6</v>
      </c>
      <c r="H45" s="209">
        <f>C45+Mar!H45</f>
        <v>84.346000000000004</v>
      </c>
      <c r="I45" s="210">
        <f>D45+Mar!I45</f>
        <v>85.813999999999993</v>
      </c>
      <c r="J45" s="24">
        <f t="shared" si="2"/>
        <v>6.2291039290541139E-2</v>
      </c>
      <c r="K45" s="25">
        <f t="shared" si="3"/>
        <v>4.4118675274430696E-2</v>
      </c>
    </row>
    <row r="46" spans="1:11">
      <c r="A46" s="6" t="s">
        <v>37</v>
      </c>
      <c r="B46" s="223">
        <v>10.199999999999999</v>
      </c>
      <c r="C46" s="224">
        <v>6.9320000000000004</v>
      </c>
      <c r="D46" s="211">
        <v>7.9320000000000004</v>
      </c>
      <c r="E46" s="73">
        <f t="shared" si="0"/>
        <v>0.47143681477207133</v>
      </c>
      <c r="F46" s="25">
        <f t="shared" si="1"/>
        <v>0.28593040847201201</v>
      </c>
      <c r="G46" s="209">
        <f>B46+Mar!G46</f>
        <v>30.7</v>
      </c>
      <c r="H46" s="209">
        <f>C46+Mar!H46</f>
        <v>22.905000000000001</v>
      </c>
      <c r="I46" s="210">
        <f>D46+Mar!I46</f>
        <v>27.015000000000001</v>
      </c>
      <c r="J46" s="24">
        <f t="shared" si="2"/>
        <v>0.34031870770574102</v>
      </c>
      <c r="K46" s="25">
        <f t="shared" si="3"/>
        <v>0.13640570053673873</v>
      </c>
    </row>
    <row r="47" spans="1:11">
      <c r="A47" s="7" t="s">
        <v>38</v>
      </c>
      <c r="B47" s="223">
        <v>6</v>
      </c>
      <c r="C47" s="224">
        <v>4.0110000000000001</v>
      </c>
      <c r="D47" s="211">
        <v>4.9909999999999997</v>
      </c>
      <c r="E47" s="73">
        <f t="shared" si="0"/>
        <v>0.4958863126402393</v>
      </c>
      <c r="F47" s="25">
        <f t="shared" si="1"/>
        <v>0.20216389501101983</v>
      </c>
      <c r="G47" s="209">
        <f>B47+Mar!G47</f>
        <v>15.1</v>
      </c>
      <c r="H47" s="209">
        <f>C47+Mar!H47</f>
        <v>12.378999999999998</v>
      </c>
      <c r="I47" s="210">
        <f>D47+Mar!I47</f>
        <v>12.283999999999999</v>
      </c>
      <c r="J47" s="24">
        <f t="shared" si="2"/>
        <v>0.21980773891267491</v>
      </c>
      <c r="K47" s="25">
        <f t="shared" si="3"/>
        <v>0.22924128948225331</v>
      </c>
    </row>
    <row r="48" spans="1:11">
      <c r="A48" s="7" t="s">
        <v>39</v>
      </c>
      <c r="B48" s="223">
        <v>21.9</v>
      </c>
      <c r="C48" s="224">
        <v>13.113</v>
      </c>
      <c r="D48" s="211">
        <v>13.986000000000001</v>
      </c>
      <c r="E48" s="73">
        <f t="shared" si="0"/>
        <v>0.67009837565774411</v>
      </c>
      <c r="F48" s="25">
        <f t="shared" si="1"/>
        <v>0.56585156585156571</v>
      </c>
      <c r="G48" s="209">
        <f>B48+Mar!G48</f>
        <v>69.099999999999994</v>
      </c>
      <c r="H48" s="209">
        <f>C48+Mar!H48</f>
        <v>51.659000000000006</v>
      </c>
      <c r="I48" s="210">
        <f>D48+Mar!I48</f>
        <v>50.772000000000006</v>
      </c>
      <c r="J48" s="24">
        <f t="shared" si="2"/>
        <v>0.33761784006659035</v>
      </c>
      <c r="K48" s="25">
        <f t="shared" si="3"/>
        <v>0.36098637044039994</v>
      </c>
    </row>
    <row r="49" spans="1:11">
      <c r="A49" s="7" t="s">
        <v>40</v>
      </c>
      <c r="B49" s="223">
        <v>3.2</v>
      </c>
      <c r="C49" s="224">
        <v>1.819</v>
      </c>
      <c r="D49" s="211">
        <v>2.0019999999999998</v>
      </c>
      <c r="E49" s="73">
        <f t="shared" si="0"/>
        <v>0.75920835623969229</v>
      </c>
      <c r="F49" s="25">
        <f t="shared" si="1"/>
        <v>0.59840159840159868</v>
      </c>
      <c r="G49" s="209">
        <f>B49+Mar!G49</f>
        <v>10.100000000000001</v>
      </c>
      <c r="H49" s="209">
        <f>C49+Mar!H49</f>
        <v>7.7169999999999996</v>
      </c>
      <c r="I49" s="210">
        <f>D49+Mar!I49</f>
        <v>7.694</v>
      </c>
      <c r="J49" s="24">
        <f t="shared" si="2"/>
        <v>0.3087987559932619</v>
      </c>
      <c r="K49" s="25">
        <f t="shared" si="3"/>
        <v>0.31271120353522242</v>
      </c>
    </row>
    <row r="50" spans="1:11">
      <c r="A50" s="6" t="s">
        <v>41</v>
      </c>
      <c r="B50" s="223">
        <v>5.5</v>
      </c>
      <c r="C50" s="224">
        <v>2.7010000000000001</v>
      </c>
      <c r="D50" s="211">
        <v>3.613</v>
      </c>
      <c r="E50" s="73">
        <f t="shared" si="0"/>
        <v>1.0362828582006665</v>
      </c>
      <c r="F50" s="25">
        <f t="shared" si="1"/>
        <v>0.5222806531967894</v>
      </c>
      <c r="G50" s="209">
        <f>B50+Mar!G50</f>
        <v>15.7</v>
      </c>
      <c r="H50" s="209">
        <f>C50+Mar!H50</f>
        <v>11.955</v>
      </c>
      <c r="I50" s="210">
        <f>D50+Mar!I50</f>
        <v>12.377000000000001</v>
      </c>
      <c r="J50" s="24">
        <f t="shared" si="2"/>
        <v>0.31325805102467585</v>
      </c>
      <c r="K50" s="25">
        <f t="shared" si="3"/>
        <v>0.26848186151733033</v>
      </c>
    </row>
    <row r="51" spans="1:11">
      <c r="A51" s="7" t="s">
        <v>42</v>
      </c>
      <c r="B51" s="223">
        <v>0.9</v>
      </c>
      <c r="C51" s="224">
        <v>0.45500000000000002</v>
      </c>
      <c r="D51" s="211">
        <v>0.61</v>
      </c>
      <c r="E51" s="73">
        <f t="shared" si="0"/>
        <v>0.9780219780219781</v>
      </c>
      <c r="F51" s="25">
        <f t="shared" si="1"/>
        <v>0.47540983606557385</v>
      </c>
      <c r="G51" s="209">
        <f>B51+Mar!G51</f>
        <v>2.8</v>
      </c>
      <c r="H51" s="209">
        <f>C51+Mar!H51</f>
        <v>2.2640000000000002</v>
      </c>
      <c r="I51" s="210">
        <f>D51+Mar!I51</f>
        <v>2.6599999999999997</v>
      </c>
      <c r="J51" s="24">
        <f t="shared" si="2"/>
        <v>0.23674911660777354</v>
      </c>
      <c r="K51" s="25">
        <f t="shared" si="3"/>
        <v>5.2631578947368585E-2</v>
      </c>
    </row>
    <row r="52" spans="1:11">
      <c r="A52" s="7"/>
      <c r="B52" s="223"/>
      <c r="C52" s="224"/>
      <c r="D52" s="211"/>
      <c r="E52" s="73"/>
      <c r="F52" s="25"/>
      <c r="G52" s="209"/>
      <c r="H52" s="209"/>
      <c r="I52" s="210">
        <f>D52+Mar!I52</f>
        <v>0</v>
      </c>
      <c r="J52" s="24"/>
      <c r="K52" s="25"/>
    </row>
    <row r="53" spans="1:11">
      <c r="A53" s="7" t="s">
        <v>43</v>
      </c>
      <c r="B53" s="223">
        <v>50.6</v>
      </c>
      <c r="C53" s="224">
        <v>38.948</v>
      </c>
      <c r="D53" s="211">
        <v>46.542999999999999</v>
      </c>
      <c r="E53" s="73">
        <f t="shared" si="0"/>
        <v>0.29916812159802819</v>
      </c>
      <c r="F53" s="25">
        <f t="shared" si="1"/>
        <v>8.7166706056764687E-2</v>
      </c>
      <c r="G53" s="209">
        <f>B53+Mar!G53</f>
        <v>160</v>
      </c>
      <c r="H53" s="209">
        <f>C53+Mar!H53</f>
        <v>122.19399999999999</v>
      </c>
      <c r="I53" s="210">
        <f>D53+Mar!I53</f>
        <v>144.25700000000001</v>
      </c>
      <c r="J53" s="24">
        <f t="shared" si="2"/>
        <v>0.30939325989819477</v>
      </c>
      <c r="K53" s="25">
        <f t="shared" si="3"/>
        <v>0.10913161926284332</v>
      </c>
    </row>
    <row r="54" spans="1:11">
      <c r="A54" s="7" t="s">
        <v>44</v>
      </c>
      <c r="B54" s="223">
        <v>33.1</v>
      </c>
      <c r="C54" s="224">
        <v>24.765000000000001</v>
      </c>
      <c r="D54" s="211">
        <v>33.685000000000002</v>
      </c>
      <c r="E54" s="73">
        <f t="shared" si="0"/>
        <v>0.33656369876842329</v>
      </c>
      <c r="F54" s="25">
        <f t="shared" si="1"/>
        <v>-1.7366780466082865E-2</v>
      </c>
      <c r="G54" s="209">
        <f>B54+Mar!G54</f>
        <v>103.6</v>
      </c>
      <c r="H54" s="209">
        <f>C54+Mar!H54</f>
        <v>77.122</v>
      </c>
      <c r="I54" s="210">
        <f>D54+Mar!I54</f>
        <v>102.63200000000001</v>
      </c>
      <c r="J54" s="24">
        <f t="shared" si="2"/>
        <v>0.3433261585539793</v>
      </c>
      <c r="K54" s="25">
        <f t="shared" si="3"/>
        <v>9.431756177410433E-3</v>
      </c>
    </row>
    <row r="55" spans="1:11">
      <c r="A55" s="7" t="s">
        <v>45</v>
      </c>
      <c r="B55" s="223">
        <v>13.1</v>
      </c>
      <c r="C55" s="224">
        <v>10.968</v>
      </c>
      <c r="D55" s="211">
        <v>9.609</v>
      </c>
      <c r="E55" s="73">
        <f t="shared" si="0"/>
        <v>0.19438366156090447</v>
      </c>
      <c r="F55" s="25">
        <f t="shared" si="1"/>
        <v>0.36330523467582476</v>
      </c>
      <c r="G55" s="209">
        <f>B55+Mar!G55</f>
        <v>43.6</v>
      </c>
      <c r="H55" s="209">
        <f>C55+Mar!H55</f>
        <v>34.879999999999995</v>
      </c>
      <c r="I55" s="210">
        <f>D55+Mar!I55</f>
        <v>31.520000000000003</v>
      </c>
      <c r="J55" s="24">
        <f t="shared" si="2"/>
        <v>0.25000000000000022</v>
      </c>
      <c r="K55" s="25">
        <f t="shared" si="3"/>
        <v>0.38324873096446699</v>
      </c>
    </row>
    <row r="56" spans="1:11">
      <c r="A56" s="7" t="s">
        <v>46</v>
      </c>
      <c r="B56" s="223">
        <v>2.1</v>
      </c>
      <c r="C56" s="224">
        <v>1.6890000000000001</v>
      </c>
      <c r="D56" s="211">
        <v>1.4379999999999999</v>
      </c>
      <c r="E56" s="73">
        <f t="shared" si="0"/>
        <v>0.24333925399644762</v>
      </c>
      <c r="F56" s="25">
        <f t="shared" si="1"/>
        <v>0.46036161335187775</v>
      </c>
      <c r="G56" s="209">
        <f>B56+Mar!G56</f>
        <v>4.8000000000000007</v>
      </c>
      <c r="H56" s="209">
        <f>C56+Mar!H56</f>
        <v>5.4290000000000003</v>
      </c>
      <c r="I56" s="210">
        <f>D56+Mar!I56</f>
        <v>4.0860000000000003</v>
      </c>
      <c r="J56" s="24">
        <f t="shared" si="2"/>
        <v>-0.11585927426782083</v>
      </c>
      <c r="K56" s="25">
        <f t="shared" si="3"/>
        <v>0.17474302496328931</v>
      </c>
    </row>
    <row r="57" spans="1:11">
      <c r="A57" s="7" t="s">
        <v>47</v>
      </c>
      <c r="B57" s="223">
        <v>0.8</v>
      </c>
      <c r="C57" s="224">
        <v>0.629</v>
      </c>
      <c r="D57" s="211">
        <v>0.68799999999999994</v>
      </c>
      <c r="E57" s="73">
        <f t="shared" si="0"/>
        <v>0.27186009538950717</v>
      </c>
      <c r="F57" s="25">
        <f t="shared" si="1"/>
        <v>0.16279069767441867</v>
      </c>
      <c r="G57" s="209">
        <f>B57+Mar!G57</f>
        <v>2.8</v>
      </c>
      <c r="H57" s="209">
        <f>C57+Mar!H57</f>
        <v>1.9590000000000001</v>
      </c>
      <c r="I57" s="210">
        <f>D57+Mar!I57</f>
        <v>2.069</v>
      </c>
      <c r="J57" s="24">
        <f t="shared" si="2"/>
        <v>0.42930066360387942</v>
      </c>
      <c r="K57" s="25">
        <f t="shared" si="3"/>
        <v>0.35331077815369749</v>
      </c>
    </row>
    <row r="58" spans="1:11">
      <c r="A58" s="7" t="s">
        <v>48</v>
      </c>
      <c r="B58" s="223">
        <v>0.4</v>
      </c>
      <c r="C58" s="224">
        <v>0.379</v>
      </c>
      <c r="D58" s="211">
        <v>0.34200000000000003</v>
      </c>
      <c r="E58" s="73">
        <f t="shared" si="0"/>
        <v>5.5408970976253302E-2</v>
      </c>
      <c r="F58" s="25">
        <f t="shared" si="1"/>
        <v>0.16959064327485374</v>
      </c>
      <c r="G58" s="209">
        <f>B58+Mar!G58</f>
        <v>1.1000000000000001</v>
      </c>
      <c r="H58" s="209">
        <f>C58+Mar!H58</f>
        <v>1.0720000000000001</v>
      </c>
      <c r="I58" s="210">
        <f>D58+Mar!I58</f>
        <v>1.0130000000000001</v>
      </c>
      <c r="J58" s="24">
        <f t="shared" si="2"/>
        <v>2.6119402985074647E-2</v>
      </c>
      <c r="K58" s="25">
        <f t="shared" si="3"/>
        <v>8.5883514313918941E-2</v>
      </c>
    </row>
    <row r="59" spans="1:11">
      <c r="A59" s="7" t="s">
        <v>87</v>
      </c>
      <c r="B59" s="223">
        <v>0.5</v>
      </c>
      <c r="C59" s="224">
        <v>0.44900000000000001</v>
      </c>
      <c r="D59" s="211">
        <v>0.67600000000000005</v>
      </c>
      <c r="E59" s="73">
        <f t="shared" si="0"/>
        <v>0.11358574610244987</v>
      </c>
      <c r="F59" s="25">
        <f t="shared" si="1"/>
        <v>-0.26035502958579881</v>
      </c>
      <c r="G59" s="209">
        <f>B59+Mar!G59</f>
        <v>1.9</v>
      </c>
      <c r="H59" s="209">
        <f>C59+Mar!H59</f>
        <v>1.4960000000000002</v>
      </c>
      <c r="I59" s="210">
        <f>D59+Mar!I59</f>
        <v>2.4980000000000002</v>
      </c>
      <c r="J59" s="24">
        <f t="shared" si="2"/>
        <v>0.27005347593582862</v>
      </c>
      <c r="K59" s="25">
        <f t="shared" si="3"/>
        <v>-0.23939151321056851</v>
      </c>
    </row>
    <row r="60" spans="1:11">
      <c r="A60" s="7" t="s">
        <v>49</v>
      </c>
      <c r="B60" s="223">
        <v>0.6</v>
      </c>
      <c r="C60" s="224">
        <v>6.9000000000000006E-2</v>
      </c>
      <c r="D60" s="211">
        <v>0.105</v>
      </c>
      <c r="E60" s="73">
        <f t="shared" si="0"/>
        <v>7.695652173913043</v>
      </c>
      <c r="F60" s="25">
        <f t="shared" si="1"/>
        <v>4.7142857142857144</v>
      </c>
      <c r="G60" s="209">
        <f>B60+Mar!G60</f>
        <v>2.2000000000000002</v>
      </c>
      <c r="H60" s="209">
        <f>C60+Mar!H60</f>
        <v>0.23600000000000002</v>
      </c>
      <c r="I60" s="210">
        <f>D60+Mar!I60</f>
        <v>0.439</v>
      </c>
      <c r="J60" s="24">
        <f t="shared" si="2"/>
        <v>8.3220338983050848</v>
      </c>
      <c r="K60" s="25">
        <f t="shared" si="3"/>
        <v>4.0113895216400914</v>
      </c>
    </row>
    <row r="61" spans="1:11">
      <c r="A61" s="2"/>
      <c r="B61" s="223"/>
      <c r="C61" s="224"/>
      <c r="D61" s="211"/>
      <c r="E61" s="73"/>
      <c r="F61" s="25"/>
      <c r="G61" s="209"/>
      <c r="H61" s="209"/>
      <c r="I61" s="210">
        <f>D61+Mar!I61</f>
        <v>0</v>
      </c>
      <c r="J61" s="24"/>
      <c r="K61" s="25"/>
    </row>
    <row r="62" spans="1:11">
      <c r="A62" s="7" t="s">
        <v>50</v>
      </c>
      <c r="B62" s="223">
        <v>0.9</v>
      </c>
      <c r="C62" s="224">
        <v>1.4370000000000001</v>
      </c>
      <c r="D62" s="211">
        <v>1.1579999999999999</v>
      </c>
      <c r="E62" s="73">
        <f t="shared" si="0"/>
        <v>-0.37369519832985387</v>
      </c>
      <c r="F62" s="25">
        <f t="shared" si="1"/>
        <v>-0.2227979274611398</v>
      </c>
      <c r="G62" s="209">
        <f>B62+Mar!G62</f>
        <v>4.5</v>
      </c>
      <c r="H62" s="209">
        <f>C62+Mar!H62</f>
        <v>4.3650000000000002</v>
      </c>
      <c r="I62" s="210">
        <f>D62+Mar!I62</f>
        <v>3.2560000000000002</v>
      </c>
      <c r="J62" s="24">
        <f t="shared" si="2"/>
        <v>3.0927835051546282E-2</v>
      </c>
      <c r="K62" s="25">
        <f t="shared" si="3"/>
        <v>0.38206388206388198</v>
      </c>
    </row>
    <row r="63" spans="1:11">
      <c r="A63" s="7" t="s">
        <v>51</v>
      </c>
      <c r="B63" s="223">
        <v>0.3</v>
      </c>
      <c r="C63" s="224">
        <v>0.27</v>
      </c>
      <c r="D63" s="211">
        <v>0.40100000000000002</v>
      </c>
      <c r="E63" s="73">
        <f t="shared" si="0"/>
        <v>0.11111111111111094</v>
      </c>
      <c r="F63" s="25">
        <f t="shared" si="1"/>
        <v>-0.25187032418952626</v>
      </c>
      <c r="G63" s="209">
        <f>B63+Mar!G63</f>
        <v>1.3</v>
      </c>
      <c r="H63" s="209">
        <f>C63+Mar!H63</f>
        <v>1.0680000000000001</v>
      </c>
      <c r="I63" s="210">
        <f>D63+Mar!I63</f>
        <v>1.0660000000000001</v>
      </c>
      <c r="J63" s="24">
        <f t="shared" si="2"/>
        <v>0.21722846441947552</v>
      </c>
      <c r="K63" s="25">
        <f t="shared" si="3"/>
        <v>0.21951219512195119</v>
      </c>
    </row>
    <row r="64" spans="1:11">
      <c r="A64" s="7" t="s">
        <v>52</v>
      </c>
      <c r="B64" s="223">
        <v>1.2</v>
      </c>
      <c r="C64" s="224">
        <v>0.89700000000000002</v>
      </c>
      <c r="D64" s="211">
        <v>0.97599999999999998</v>
      </c>
      <c r="E64" s="73">
        <f t="shared" si="0"/>
        <v>0.33779264214046822</v>
      </c>
      <c r="F64" s="25">
        <f t="shared" si="1"/>
        <v>0.22950819672131151</v>
      </c>
      <c r="G64" s="209">
        <f>B64+Mar!G64</f>
        <v>6.8</v>
      </c>
      <c r="H64" s="209">
        <f>C64+Mar!H64</f>
        <v>5.5640000000000001</v>
      </c>
      <c r="I64" s="210">
        <f>D64+Mar!I64</f>
        <v>3.415</v>
      </c>
      <c r="J64" s="24">
        <f t="shared" si="2"/>
        <v>0.2221423436376706</v>
      </c>
      <c r="K64" s="25">
        <f t="shared" si="3"/>
        <v>0.99121522693997055</v>
      </c>
    </row>
    <row r="65" spans="1:11">
      <c r="A65" s="7" t="s">
        <v>53</v>
      </c>
      <c r="B65" s="223">
        <v>1.1000000000000001</v>
      </c>
      <c r="C65" s="224">
        <v>0.54400000000000004</v>
      </c>
      <c r="D65" s="211">
        <v>0.55300000000000005</v>
      </c>
      <c r="E65" s="73">
        <f t="shared" si="0"/>
        <v>1.0220588235294117</v>
      </c>
      <c r="F65" s="25">
        <f t="shared" si="1"/>
        <v>0.98915009041591317</v>
      </c>
      <c r="G65" s="209">
        <f>B65+Mar!G65</f>
        <v>4.3000000000000007</v>
      </c>
      <c r="H65" s="209">
        <f>C65+Mar!H65</f>
        <v>2.1920000000000002</v>
      </c>
      <c r="I65" s="210">
        <f>D65+Mar!I65</f>
        <v>1.7389999999999999</v>
      </c>
      <c r="J65" s="24">
        <f t="shared" si="2"/>
        <v>0.9616788321167884</v>
      </c>
      <c r="K65" s="25">
        <f t="shared" si="3"/>
        <v>1.4726854514088563</v>
      </c>
    </row>
    <row r="66" spans="1:11">
      <c r="A66" s="2"/>
      <c r="B66" s="223"/>
      <c r="C66" s="224"/>
      <c r="D66" s="211"/>
      <c r="E66" s="73"/>
      <c r="F66" s="25"/>
      <c r="G66" s="209"/>
      <c r="H66" s="209"/>
      <c r="I66" s="210">
        <f>D66+Mar!I66</f>
        <v>0</v>
      </c>
      <c r="J66" s="24"/>
      <c r="K66" s="25"/>
    </row>
    <row r="67" spans="1:11">
      <c r="A67" s="7" t="s">
        <v>54</v>
      </c>
      <c r="B67" s="223">
        <v>7.2</v>
      </c>
      <c r="C67" s="224">
        <v>5.3710000000000004</v>
      </c>
      <c r="D67" s="211">
        <v>8.2739999999999991</v>
      </c>
      <c r="E67" s="73">
        <f t="shared" si="0"/>
        <v>0.34053248929435842</v>
      </c>
      <c r="F67" s="25">
        <f t="shared" si="1"/>
        <v>-0.12980420594633779</v>
      </c>
      <c r="G67" s="209">
        <f>B67+Mar!G67</f>
        <v>28.400000000000002</v>
      </c>
      <c r="H67" s="209">
        <f>C67+Mar!H67</f>
        <v>20.603999999999999</v>
      </c>
      <c r="I67" s="210">
        <f>D67+Mar!I67</f>
        <v>26.412999999999997</v>
      </c>
      <c r="J67" s="24">
        <f t="shared" si="2"/>
        <v>0.37837313143079032</v>
      </c>
      <c r="K67" s="25">
        <f t="shared" si="3"/>
        <v>7.5228107371370312E-2</v>
      </c>
    </row>
    <row r="68" spans="1:11">
      <c r="A68" s="7" t="s">
        <v>55</v>
      </c>
      <c r="B68" s="223">
        <v>1.3</v>
      </c>
      <c r="C68" s="224">
        <v>1.089</v>
      </c>
      <c r="D68" s="211">
        <v>1.391</v>
      </c>
      <c r="E68" s="73">
        <f t="shared" si="0"/>
        <v>0.19375573921028466</v>
      </c>
      <c r="F68" s="25">
        <f t="shared" si="1"/>
        <v>-6.5420560747663559E-2</v>
      </c>
      <c r="G68" s="209">
        <f>B68+Mar!G68</f>
        <v>6.8999999999999995</v>
      </c>
      <c r="H68" s="209">
        <f>C68+Mar!H68</f>
        <v>5.5809999999999995</v>
      </c>
      <c r="I68" s="210">
        <f>D68+Mar!I68</f>
        <v>5.375</v>
      </c>
      <c r="J68" s="24">
        <f t="shared" si="2"/>
        <v>0.23633757391148547</v>
      </c>
      <c r="K68" s="25">
        <f t="shared" si="3"/>
        <v>0.28372093023255807</v>
      </c>
    </row>
    <row r="69" spans="1:11">
      <c r="A69" s="7" t="s">
        <v>56</v>
      </c>
      <c r="B69" s="223">
        <v>0.5</v>
      </c>
      <c r="C69" s="224">
        <v>0.27500000000000002</v>
      </c>
      <c r="D69" s="211">
        <v>0.27800000000000002</v>
      </c>
      <c r="E69" s="73">
        <f t="shared" si="0"/>
        <v>0.81818181818181812</v>
      </c>
      <c r="F69" s="25">
        <f t="shared" si="1"/>
        <v>0.79856115107913661</v>
      </c>
      <c r="G69" s="209">
        <f>B69+Mar!G69</f>
        <v>1.7999999999999998</v>
      </c>
      <c r="H69" s="209">
        <f>C69+Mar!H69</f>
        <v>1.4590000000000001</v>
      </c>
      <c r="I69" s="210">
        <f>D69+Mar!I69</f>
        <v>1.179</v>
      </c>
      <c r="J69" s="24">
        <f t="shared" si="2"/>
        <v>0.23372172721041795</v>
      </c>
      <c r="K69" s="25">
        <f t="shared" si="3"/>
        <v>0.52671755725190827</v>
      </c>
    </row>
    <row r="70" spans="1:11">
      <c r="A70" s="7" t="s">
        <v>88</v>
      </c>
      <c r="B70" s="223">
        <v>0.2</v>
      </c>
      <c r="C70" s="224">
        <v>0.23699999999999999</v>
      </c>
      <c r="D70" s="211">
        <v>0.30499999999999999</v>
      </c>
      <c r="E70" s="73">
        <f t="shared" ref="E70:E96" si="4">B70/C70-1</f>
        <v>-0.15611814345991548</v>
      </c>
      <c r="F70" s="25">
        <f t="shared" ref="F70:F96" si="5">B70/D70-1</f>
        <v>-0.34426229508196715</v>
      </c>
      <c r="G70" s="209">
        <f>B70+Mar!G70</f>
        <v>0.89999999999999991</v>
      </c>
      <c r="H70" s="209">
        <f>C70+Mar!H70</f>
        <v>0.76800000000000002</v>
      </c>
      <c r="I70" s="210">
        <f>D70+Mar!I70</f>
        <v>0.92199999999999993</v>
      </c>
      <c r="J70" s="24">
        <f t="shared" ref="J70:J96" si="6">G70/H70-1</f>
        <v>0.17187499999999978</v>
      </c>
      <c r="K70" s="25">
        <f t="shared" ref="K70:K96" si="7">G70/I70-1</f>
        <v>-2.386117136659438E-2</v>
      </c>
    </row>
    <row r="71" spans="1:11">
      <c r="A71" s="7" t="s">
        <v>89</v>
      </c>
      <c r="B71" s="223">
        <v>0.7</v>
      </c>
      <c r="C71" s="224">
        <v>0.67800000000000005</v>
      </c>
      <c r="D71" s="211">
        <v>0.68899999999999995</v>
      </c>
      <c r="E71" s="73">
        <f t="shared" si="4"/>
        <v>3.2448377581120846E-2</v>
      </c>
      <c r="F71" s="25">
        <f t="shared" si="5"/>
        <v>1.59651669085632E-2</v>
      </c>
      <c r="G71" s="209">
        <f>B71+Mar!G71</f>
        <v>2.2000000000000002</v>
      </c>
      <c r="H71" s="209">
        <f>C71+Mar!H71</f>
        <v>1.5169999999999999</v>
      </c>
      <c r="I71" s="210">
        <f>D71+Mar!I71</f>
        <v>1.907</v>
      </c>
      <c r="J71" s="24">
        <f t="shared" si="6"/>
        <v>0.45023071852340157</v>
      </c>
      <c r="K71" s="25">
        <f t="shared" si="7"/>
        <v>0.15364446775039342</v>
      </c>
    </row>
    <row r="72" spans="1:11">
      <c r="A72" s="7" t="s">
        <v>59</v>
      </c>
      <c r="B72" s="223">
        <v>7.9</v>
      </c>
      <c r="C72" s="224">
        <v>4.4649999999999999</v>
      </c>
      <c r="D72" s="211">
        <v>5.1849999999999996</v>
      </c>
      <c r="E72" s="73">
        <f t="shared" si="4"/>
        <v>0.76931690929451291</v>
      </c>
      <c r="F72" s="25">
        <f t="shared" si="5"/>
        <v>0.5236258437801351</v>
      </c>
      <c r="G72" s="209">
        <f>B72+Mar!G72</f>
        <v>24.299999999999997</v>
      </c>
      <c r="H72" s="209">
        <f>C72+Mar!H72</f>
        <v>14.983999999999998</v>
      </c>
      <c r="I72" s="210">
        <f>D72+Mar!I72</f>
        <v>14.507999999999999</v>
      </c>
      <c r="J72" s="24">
        <f t="shared" si="6"/>
        <v>0.62172984516817942</v>
      </c>
      <c r="K72" s="25">
        <f t="shared" si="7"/>
        <v>0.67493796526054584</v>
      </c>
    </row>
    <row r="73" spans="1:11">
      <c r="A73" s="7" t="s">
        <v>60</v>
      </c>
      <c r="B73" s="223">
        <v>1.1000000000000001</v>
      </c>
      <c r="C73" s="224">
        <v>0.89600000000000002</v>
      </c>
      <c r="D73" s="211">
        <v>1.0760000000000001</v>
      </c>
      <c r="E73" s="73">
        <f t="shared" si="4"/>
        <v>0.2276785714285714</v>
      </c>
      <c r="F73" s="25">
        <f t="shared" si="5"/>
        <v>2.2304832713754719E-2</v>
      </c>
      <c r="G73" s="209">
        <f>B73+Mar!G73</f>
        <v>3</v>
      </c>
      <c r="H73" s="209">
        <f>C73+Mar!H73</f>
        <v>2.2930000000000001</v>
      </c>
      <c r="I73" s="210">
        <f>D73+Mar!I73</f>
        <v>2.843</v>
      </c>
      <c r="J73" s="24">
        <f t="shared" si="6"/>
        <v>0.30832969908416907</v>
      </c>
      <c r="K73" s="25">
        <f t="shared" si="7"/>
        <v>5.5223355610270808E-2</v>
      </c>
    </row>
    <row r="74" spans="1:11">
      <c r="A74" s="7" t="s">
        <v>61</v>
      </c>
      <c r="B74" s="223">
        <v>1.8</v>
      </c>
      <c r="C74" s="224">
        <v>1.1659999999999999</v>
      </c>
      <c r="D74" s="211">
        <v>1.266</v>
      </c>
      <c r="E74" s="73">
        <f t="shared" si="4"/>
        <v>0.54373927958833623</v>
      </c>
      <c r="F74" s="25">
        <f t="shared" si="5"/>
        <v>0.4218009478672986</v>
      </c>
      <c r="G74" s="209">
        <f>B74+Mar!G74</f>
        <v>6.8</v>
      </c>
      <c r="H74" s="209">
        <f>C74+Mar!H74</f>
        <v>4.2140000000000004</v>
      </c>
      <c r="I74" s="210">
        <f>D74+Mar!I74</f>
        <v>4.2949999999999999</v>
      </c>
      <c r="J74" s="24">
        <f t="shared" si="6"/>
        <v>0.61366872330327449</v>
      </c>
      <c r="K74" s="25">
        <f t="shared" si="7"/>
        <v>0.58323632130384162</v>
      </c>
    </row>
    <row r="75" spans="1:11">
      <c r="A75" s="7" t="s">
        <v>62</v>
      </c>
      <c r="B75" s="223">
        <v>1</v>
      </c>
      <c r="C75" s="224">
        <v>0.94899999999999995</v>
      </c>
      <c r="D75" s="211">
        <v>1.1890000000000001</v>
      </c>
      <c r="E75" s="73">
        <f t="shared" si="4"/>
        <v>5.3740779768177038E-2</v>
      </c>
      <c r="F75" s="25">
        <f t="shared" si="5"/>
        <v>-0.15895710681244746</v>
      </c>
      <c r="G75" s="209">
        <f>B75+Mar!G75</f>
        <v>5.4</v>
      </c>
      <c r="H75" s="209">
        <f>C75+Mar!H75</f>
        <v>2.8209999999999997</v>
      </c>
      <c r="I75" s="210">
        <f>D75+Mar!I75</f>
        <v>3.3520000000000003</v>
      </c>
      <c r="J75" s="24">
        <f t="shared" si="6"/>
        <v>0.91421481744062416</v>
      </c>
      <c r="K75" s="25">
        <f t="shared" si="7"/>
        <v>0.61097852028639621</v>
      </c>
    </row>
    <row r="76" spans="1:11">
      <c r="A76" s="7" t="s">
        <v>63</v>
      </c>
      <c r="B76" s="223">
        <v>2.6</v>
      </c>
      <c r="C76" s="224">
        <v>1.6459999999999999</v>
      </c>
      <c r="D76" s="211">
        <v>2.117</v>
      </c>
      <c r="E76" s="73">
        <f t="shared" si="4"/>
        <v>0.57958687727825042</v>
      </c>
      <c r="F76" s="25">
        <f t="shared" si="5"/>
        <v>0.22815304676428916</v>
      </c>
      <c r="G76" s="209">
        <f>B76+Mar!G76</f>
        <v>8.1</v>
      </c>
      <c r="H76" s="209">
        <f>C76+Mar!H76</f>
        <v>5.26</v>
      </c>
      <c r="I76" s="210">
        <f>D76+Mar!I76</f>
        <v>5.165</v>
      </c>
      <c r="J76" s="24">
        <f t="shared" si="6"/>
        <v>0.53992395437262353</v>
      </c>
      <c r="K76" s="25">
        <f t="shared" si="7"/>
        <v>0.56824782187802514</v>
      </c>
    </row>
    <row r="77" spans="1:11">
      <c r="A77" s="7" t="s">
        <v>64</v>
      </c>
      <c r="B77" s="223">
        <v>0.5</v>
      </c>
      <c r="C77" s="224">
        <v>0.39900000000000002</v>
      </c>
      <c r="D77" s="211">
        <v>0.52200000000000002</v>
      </c>
      <c r="E77" s="73">
        <f t="shared" si="4"/>
        <v>0.25313283208020043</v>
      </c>
      <c r="F77" s="25">
        <f t="shared" si="5"/>
        <v>-4.2145593869731823E-2</v>
      </c>
      <c r="G77" s="209">
        <f>B77+Mar!G77</f>
        <v>1.9</v>
      </c>
      <c r="H77" s="209">
        <f>C77+Mar!H77</f>
        <v>1.3120000000000001</v>
      </c>
      <c r="I77" s="210">
        <f>D77+Mar!I77</f>
        <v>1.343</v>
      </c>
      <c r="J77" s="24">
        <f t="shared" si="6"/>
        <v>0.44817073170731692</v>
      </c>
      <c r="K77" s="25">
        <f t="shared" si="7"/>
        <v>0.41474311243484729</v>
      </c>
    </row>
    <row r="78" spans="1:11">
      <c r="A78" s="7"/>
      <c r="B78" s="223"/>
      <c r="C78" s="224"/>
      <c r="D78" s="211"/>
      <c r="E78" s="73"/>
      <c r="F78" s="25"/>
      <c r="G78" s="209"/>
      <c r="H78" s="209"/>
      <c r="I78" s="210">
        <f>D78+Mar!I78</f>
        <v>0</v>
      </c>
      <c r="J78" s="24"/>
      <c r="K78" s="25"/>
    </row>
    <row r="79" spans="1:11">
      <c r="A79" s="7" t="s">
        <v>65</v>
      </c>
      <c r="B79" s="223">
        <v>89.1</v>
      </c>
      <c r="C79" s="224">
        <v>60.271999999999998</v>
      </c>
      <c r="D79" s="211">
        <v>73.703000000000003</v>
      </c>
      <c r="E79" s="73">
        <f t="shared" si="4"/>
        <v>0.47829838067427666</v>
      </c>
      <c r="F79" s="25">
        <f t="shared" si="5"/>
        <v>0.20890601468054215</v>
      </c>
      <c r="G79" s="209">
        <f>B79+Mar!G79</f>
        <v>289.5</v>
      </c>
      <c r="H79" s="209">
        <f>C79+Mar!H79</f>
        <v>238.08299999999997</v>
      </c>
      <c r="I79" s="210">
        <f>D79+Mar!I79</f>
        <v>244.79300000000001</v>
      </c>
      <c r="J79" s="24">
        <f t="shared" si="6"/>
        <v>0.21596250047252452</v>
      </c>
      <c r="K79" s="25">
        <f t="shared" si="7"/>
        <v>0.18263185630308043</v>
      </c>
    </row>
    <row r="80" spans="1:11">
      <c r="A80" s="7" t="s">
        <v>66</v>
      </c>
      <c r="B80" s="223">
        <v>69.099999999999994</v>
      </c>
      <c r="C80" s="224">
        <v>48.508000000000003</v>
      </c>
      <c r="D80" s="211">
        <v>56.137</v>
      </c>
      <c r="E80" s="73">
        <f t="shared" si="4"/>
        <v>0.42450729776531682</v>
      </c>
      <c r="F80" s="25">
        <f t="shared" si="5"/>
        <v>0.23091722037159079</v>
      </c>
      <c r="G80" s="209">
        <f>B80+Mar!G80</f>
        <v>230</v>
      </c>
      <c r="H80" s="209">
        <f>C80+Mar!H80</f>
        <v>188.21200000000002</v>
      </c>
      <c r="I80" s="210">
        <f>D80+Mar!I80</f>
        <v>187.22399999999999</v>
      </c>
      <c r="J80" s="24">
        <f t="shared" si="6"/>
        <v>0.22202622574543596</v>
      </c>
      <c r="K80" s="25">
        <f t="shared" si="7"/>
        <v>0.2284749818399352</v>
      </c>
    </row>
    <row r="81" spans="1:11">
      <c r="A81" s="7" t="s">
        <v>67</v>
      </c>
      <c r="B81" s="223">
        <v>7.3</v>
      </c>
      <c r="C81" s="224">
        <v>5.1520000000000001</v>
      </c>
      <c r="D81" s="211">
        <v>6.1849999999999996</v>
      </c>
      <c r="E81" s="73">
        <f t="shared" si="4"/>
        <v>0.41692546583850931</v>
      </c>
      <c r="F81" s="25">
        <f t="shared" si="5"/>
        <v>0.1802748585286984</v>
      </c>
      <c r="G81" s="209">
        <f>B81+Mar!G81</f>
        <v>21.9</v>
      </c>
      <c r="H81" s="209">
        <f>C81+Mar!H81</f>
        <v>18.092000000000002</v>
      </c>
      <c r="I81" s="210">
        <f>D81+Mar!I81</f>
        <v>18.742000000000001</v>
      </c>
      <c r="J81" s="24">
        <f t="shared" si="6"/>
        <v>0.21047977006411656</v>
      </c>
      <c r="K81" s="25">
        <f t="shared" si="7"/>
        <v>0.16849855938533764</v>
      </c>
    </row>
    <row r="82" spans="1:11">
      <c r="A82" s="7" t="s">
        <v>68</v>
      </c>
      <c r="B82" s="223">
        <v>2.8</v>
      </c>
      <c r="C82" s="224">
        <v>1.0229999999999999</v>
      </c>
      <c r="D82" s="211">
        <v>2.5419999999999998</v>
      </c>
      <c r="E82" s="73">
        <f t="shared" si="4"/>
        <v>1.7370478983382212</v>
      </c>
      <c r="F82" s="25">
        <f t="shared" si="5"/>
        <v>0.10149488591660116</v>
      </c>
      <c r="G82" s="209">
        <f>B82+Mar!G82</f>
        <v>6.4</v>
      </c>
      <c r="H82" s="209">
        <f>C82+Mar!H82</f>
        <v>4.9959999999999996</v>
      </c>
      <c r="I82" s="210">
        <f>D82+Mar!I82</f>
        <v>6.0809999999999995</v>
      </c>
      <c r="J82" s="24">
        <f t="shared" si="6"/>
        <v>0.2810248198558849</v>
      </c>
      <c r="K82" s="25">
        <f t="shared" si="7"/>
        <v>5.2458477224140987E-2</v>
      </c>
    </row>
    <row r="83" spans="1:11">
      <c r="A83" s="7" t="s">
        <v>69</v>
      </c>
      <c r="B83" s="223">
        <v>9.9</v>
      </c>
      <c r="C83" s="224">
        <v>5.5890000000000004</v>
      </c>
      <c r="D83" s="211">
        <v>8.8390000000000004</v>
      </c>
      <c r="E83" s="73">
        <f t="shared" si="4"/>
        <v>0.77133655394524947</v>
      </c>
      <c r="F83" s="25">
        <f t="shared" si="5"/>
        <v>0.12003620319040609</v>
      </c>
      <c r="G83" s="209">
        <f>B83+Mar!G83</f>
        <v>38.5</v>
      </c>
      <c r="H83" s="209">
        <f>C83+Mar!H83</f>
        <v>26.783000000000001</v>
      </c>
      <c r="I83" s="210">
        <f>D83+Mar!I83</f>
        <v>32.746000000000002</v>
      </c>
      <c r="J83" s="24">
        <f t="shared" si="6"/>
        <v>0.43747899787178435</v>
      </c>
      <c r="K83" s="25">
        <f t="shared" si="7"/>
        <v>0.17571611799914488</v>
      </c>
    </row>
    <row r="84" spans="1:11">
      <c r="A84" s="7" t="s">
        <v>70</v>
      </c>
      <c r="B84" s="223">
        <v>0.3</v>
      </c>
      <c r="C84" s="224">
        <v>0.189</v>
      </c>
      <c r="D84" s="211">
        <v>0.23300000000000001</v>
      </c>
      <c r="E84" s="73">
        <f t="shared" si="4"/>
        <v>0.58730158730158721</v>
      </c>
      <c r="F84" s="25">
        <f t="shared" si="5"/>
        <v>0.28755364806866934</v>
      </c>
      <c r="G84" s="209">
        <f>B84+Mar!G84</f>
        <v>1</v>
      </c>
      <c r="H84" s="209">
        <f>C84+Mar!H84</f>
        <v>0.91100000000000003</v>
      </c>
      <c r="I84" s="210">
        <f>D84+Mar!I84</f>
        <v>0.8869999999999999</v>
      </c>
      <c r="J84" s="24">
        <f t="shared" si="6"/>
        <v>9.7694840834247954E-2</v>
      </c>
      <c r="K84" s="25">
        <f t="shared" si="7"/>
        <v>0.12739571589627974</v>
      </c>
    </row>
    <row r="85" spans="1:11">
      <c r="A85" s="7" t="s">
        <v>71</v>
      </c>
      <c r="B85" s="223">
        <v>3.2</v>
      </c>
      <c r="C85" s="224">
        <v>1.647</v>
      </c>
      <c r="D85" s="211">
        <v>2.17</v>
      </c>
      <c r="E85" s="73">
        <f t="shared" si="4"/>
        <v>0.9429265330904677</v>
      </c>
      <c r="F85" s="25">
        <f t="shared" si="5"/>
        <v>0.47465437788018439</v>
      </c>
      <c r="G85" s="209">
        <f>B85+Mar!G85</f>
        <v>12.2</v>
      </c>
      <c r="H85" s="209">
        <f>C85+Mar!H85</f>
        <v>9.1050000000000004</v>
      </c>
      <c r="I85" s="210">
        <f>D85+Mar!I85</f>
        <v>8.9220000000000006</v>
      </c>
      <c r="J85" s="24">
        <f t="shared" si="6"/>
        <v>0.33992311916529361</v>
      </c>
      <c r="K85" s="25">
        <f t="shared" si="7"/>
        <v>0.36740641111858308</v>
      </c>
    </row>
    <row r="86" spans="1:11">
      <c r="A86" s="7" t="s">
        <v>72</v>
      </c>
      <c r="B86" s="223">
        <v>3.2</v>
      </c>
      <c r="C86" s="224">
        <v>1.9319999999999999</v>
      </c>
      <c r="D86" s="211">
        <v>3.9129999999999998</v>
      </c>
      <c r="E86" s="73">
        <f t="shared" si="4"/>
        <v>0.65631469979296075</v>
      </c>
      <c r="F86" s="25">
        <f t="shared" si="5"/>
        <v>-0.18221313570150766</v>
      </c>
      <c r="G86" s="209">
        <f>B86+Mar!G86</f>
        <v>13.7</v>
      </c>
      <c r="H86" s="209">
        <f>C86+Mar!H86</f>
        <v>8.0679999999999996</v>
      </c>
      <c r="I86" s="210">
        <f>D86+Mar!I86</f>
        <v>13.838000000000001</v>
      </c>
      <c r="J86" s="24">
        <f t="shared" si="6"/>
        <v>0.69806643529995038</v>
      </c>
      <c r="K86" s="25">
        <f t="shared" si="7"/>
        <v>-9.9725393843042021E-3</v>
      </c>
    </row>
    <row r="87" spans="1:11">
      <c r="A87" s="7" t="s">
        <v>73</v>
      </c>
      <c r="B87" s="223">
        <v>0.5</v>
      </c>
      <c r="C87" s="224">
        <v>0.31900000000000001</v>
      </c>
      <c r="D87" s="211">
        <v>0.36699999999999999</v>
      </c>
      <c r="E87" s="73">
        <f t="shared" si="4"/>
        <v>0.56739811912225702</v>
      </c>
      <c r="F87" s="25">
        <f t="shared" si="5"/>
        <v>0.36239782016348787</v>
      </c>
      <c r="G87" s="209">
        <f>B87+Mar!G87</f>
        <v>2.5</v>
      </c>
      <c r="H87" s="209">
        <f>C87+Mar!H87</f>
        <v>1.7949999999999999</v>
      </c>
      <c r="I87" s="210">
        <f>D87+Mar!I87</f>
        <v>2.0470000000000002</v>
      </c>
      <c r="J87" s="24">
        <f t="shared" si="6"/>
        <v>0.39275766016713098</v>
      </c>
      <c r="K87" s="25">
        <f t="shared" si="7"/>
        <v>0.2212994626282363</v>
      </c>
    </row>
    <row r="88" spans="1:11">
      <c r="A88" s="7" t="s">
        <v>74</v>
      </c>
      <c r="B88" s="223">
        <v>0.8</v>
      </c>
      <c r="C88" s="224">
        <v>0.39</v>
      </c>
      <c r="D88" s="211">
        <v>0.67700000000000005</v>
      </c>
      <c r="E88" s="73">
        <f t="shared" si="4"/>
        <v>1.0512820512820515</v>
      </c>
      <c r="F88" s="25">
        <f t="shared" si="5"/>
        <v>0.18168389955686859</v>
      </c>
      <c r="G88" s="209">
        <f>B88+Mar!G88</f>
        <v>2.4000000000000004</v>
      </c>
      <c r="H88" s="209">
        <f>C88+Mar!H88</f>
        <v>1.8000000000000003</v>
      </c>
      <c r="I88" s="210">
        <f>D88+Mar!I88</f>
        <v>2.1880000000000002</v>
      </c>
      <c r="J88" s="24">
        <f t="shared" si="6"/>
        <v>0.33333333333333326</v>
      </c>
      <c r="K88" s="25">
        <f t="shared" si="7"/>
        <v>9.689213893967108E-2</v>
      </c>
    </row>
    <row r="89" spans="1:11">
      <c r="A89" s="7" t="s">
        <v>75</v>
      </c>
      <c r="B89" s="223">
        <v>0.1</v>
      </c>
      <c r="C89" s="224">
        <v>7.0000000000000007E-2</v>
      </c>
      <c r="D89" s="211">
        <v>8.3000000000000004E-2</v>
      </c>
      <c r="E89" s="73">
        <f t="shared" si="4"/>
        <v>0.4285714285714286</v>
      </c>
      <c r="F89" s="25">
        <f t="shared" si="5"/>
        <v>0.20481927710843384</v>
      </c>
      <c r="G89" s="209">
        <f>B89+Mar!G89</f>
        <v>1.3000000000000003</v>
      </c>
      <c r="H89" s="209">
        <f>C89+Mar!H89</f>
        <v>0.30199999999999999</v>
      </c>
      <c r="I89" s="210">
        <f>D89+Mar!I89</f>
        <v>0.28500000000000003</v>
      </c>
      <c r="J89" s="24">
        <f t="shared" si="6"/>
        <v>3.3046357615894051</v>
      </c>
      <c r="K89" s="25">
        <f t="shared" si="7"/>
        <v>3.5614035087719307</v>
      </c>
    </row>
    <row r="90" spans="1:11">
      <c r="A90" s="7"/>
      <c r="B90" s="223"/>
      <c r="C90" s="224"/>
      <c r="D90" s="211"/>
      <c r="E90" s="73"/>
      <c r="F90" s="25"/>
      <c r="G90" s="209"/>
      <c r="H90" s="209"/>
      <c r="I90" s="210">
        <f>D90+Mar!I90</f>
        <v>0</v>
      </c>
      <c r="J90" s="24"/>
      <c r="K90" s="25"/>
    </row>
    <row r="91" spans="1:11">
      <c r="A91" s="7" t="s">
        <v>76</v>
      </c>
      <c r="B91" s="223">
        <v>4.8</v>
      </c>
      <c r="C91" s="224">
        <v>3.1190000000000002</v>
      </c>
      <c r="D91" s="211">
        <v>3.2290000000000001</v>
      </c>
      <c r="E91" s="73">
        <f t="shared" si="4"/>
        <v>0.53895479320294948</v>
      </c>
      <c r="F91" s="25">
        <f t="shared" si="5"/>
        <v>0.48652833694642283</v>
      </c>
      <c r="G91" s="209">
        <f>B91+Mar!G91</f>
        <v>11.2</v>
      </c>
      <c r="H91" s="209">
        <f>C91+Mar!H91</f>
        <v>8.5190000000000001</v>
      </c>
      <c r="I91" s="210">
        <f>D91+Mar!I91</f>
        <v>8.9179999999999993</v>
      </c>
      <c r="J91" s="24">
        <f t="shared" si="6"/>
        <v>0.31470829909613784</v>
      </c>
      <c r="K91" s="25">
        <f t="shared" si="7"/>
        <v>0.25588697017268447</v>
      </c>
    </row>
    <row r="92" spans="1:11">
      <c r="A92" s="7" t="s">
        <v>77</v>
      </c>
      <c r="B92" s="223">
        <v>4.3</v>
      </c>
      <c r="C92" s="224">
        <v>2.7120000000000002</v>
      </c>
      <c r="D92" s="211">
        <v>2.7869999999999999</v>
      </c>
      <c r="E92" s="73">
        <f t="shared" si="4"/>
        <v>0.58554572271386407</v>
      </c>
      <c r="F92" s="25">
        <f t="shared" si="5"/>
        <v>0.54287764621456769</v>
      </c>
      <c r="G92" s="209">
        <f>B92+Mar!G92</f>
        <v>9.8999999999999986</v>
      </c>
      <c r="H92" s="209">
        <f>C92+Mar!H92</f>
        <v>7.4109999999999996</v>
      </c>
      <c r="I92" s="210">
        <f>D92+Mar!I92</f>
        <v>7.7160000000000002</v>
      </c>
      <c r="J92" s="24">
        <f t="shared" si="6"/>
        <v>0.33585211172581286</v>
      </c>
      <c r="K92" s="25">
        <f t="shared" si="7"/>
        <v>0.28304821150855353</v>
      </c>
    </row>
    <row r="93" spans="1:11">
      <c r="A93" s="7" t="s">
        <v>78</v>
      </c>
      <c r="B93" s="223">
        <v>0.4</v>
      </c>
      <c r="C93" s="224">
        <v>0.34699999999999998</v>
      </c>
      <c r="D93" s="211">
        <v>0.35599999999999998</v>
      </c>
      <c r="E93" s="73">
        <f t="shared" si="4"/>
        <v>0.15273775216138352</v>
      </c>
      <c r="F93" s="25">
        <f t="shared" si="5"/>
        <v>0.12359550561797761</v>
      </c>
      <c r="G93" s="209">
        <f>B93+Mar!G93</f>
        <v>1</v>
      </c>
      <c r="H93" s="209">
        <f>C93+Mar!H93</f>
        <v>0.90999999999999992</v>
      </c>
      <c r="I93" s="210">
        <f>D93+Mar!I93</f>
        <v>0.97299999999999998</v>
      </c>
      <c r="J93" s="24">
        <f t="shared" si="6"/>
        <v>9.8901098901098994E-2</v>
      </c>
      <c r="K93" s="25">
        <f t="shared" si="7"/>
        <v>2.7749229188078095E-2</v>
      </c>
    </row>
    <row r="94" spans="1:11">
      <c r="A94" s="7" t="s">
        <v>19</v>
      </c>
      <c r="B94" s="223">
        <v>0.1</v>
      </c>
      <c r="C94" s="224">
        <v>0.06</v>
      </c>
      <c r="D94" s="211">
        <v>8.5999999999999993E-2</v>
      </c>
      <c r="E94" s="73">
        <f t="shared" si="4"/>
        <v>0.66666666666666674</v>
      </c>
      <c r="F94" s="25">
        <f t="shared" si="5"/>
        <v>0.16279069767441867</v>
      </c>
      <c r="G94" s="209">
        <f>B94+Mar!G94</f>
        <v>0.30000000000000004</v>
      </c>
      <c r="H94" s="209">
        <f>C94+Mar!H94</f>
        <v>0.19800000000000001</v>
      </c>
      <c r="I94" s="210">
        <f>D94+Mar!I94</f>
        <v>0.22899999999999998</v>
      </c>
      <c r="J94" s="24">
        <f t="shared" si="6"/>
        <v>0.51515151515151536</v>
      </c>
      <c r="K94" s="25">
        <f t="shared" si="7"/>
        <v>0.31004366812227113</v>
      </c>
    </row>
    <row r="95" spans="1:11">
      <c r="A95" s="7"/>
      <c r="B95" s="223"/>
      <c r="C95" s="224"/>
      <c r="D95" s="211"/>
      <c r="E95" s="73"/>
      <c r="F95" s="25"/>
      <c r="G95" s="209"/>
      <c r="H95" s="209"/>
      <c r="I95" s="210">
        <f>D95+Mar!I95</f>
        <v>0</v>
      </c>
      <c r="J95" s="24"/>
      <c r="K95" s="25"/>
    </row>
    <row r="96" spans="1:11" ht="13.5" thickBot="1">
      <c r="A96" s="9" t="s">
        <v>79</v>
      </c>
      <c r="B96" s="225">
        <v>0.8</v>
      </c>
      <c r="C96" s="226">
        <v>1.127</v>
      </c>
      <c r="D96" s="212">
        <v>0.86399999999999999</v>
      </c>
      <c r="E96" s="74">
        <f t="shared" si="4"/>
        <v>-0.29015084294587401</v>
      </c>
      <c r="F96" s="27">
        <f t="shared" si="5"/>
        <v>-7.4074074074073959E-2</v>
      </c>
      <c r="G96" s="209">
        <f>B96+Mar!G96</f>
        <v>2.6</v>
      </c>
      <c r="H96" s="209">
        <f>C96+Mar!H96</f>
        <v>3.11</v>
      </c>
      <c r="I96" s="210">
        <f>D96+Mar!I96</f>
        <v>3.6500000000000004</v>
      </c>
      <c r="J96" s="26">
        <f t="shared" si="6"/>
        <v>-0.16398713826366551</v>
      </c>
      <c r="K96" s="27">
        <f t="shared" si="7"/>
        <v>-0.28767123287671237</v>
      </c>
    </row>
  </sheetData>
  <mergeCells count="4">
    <mergeCell ref="B3:D3"/>
    <mergeCell ref="E3:F3"/>
    <mergeCell ref="G3:I3"/>
    <mergeCell ref="J3:K3"/>
  </mergeCells>
  <conditionalFormatting sqref="E5:F96">
    <cfRule type="cellIs" dxfId="71" priority="5" operator="lessThan">
      <formula>0</formula>
    </cfRule>
    <cfRule type="cellIs" dxfId="70" priority="6" operator="greaterThan">
      <formula>0</formula>
    </cfRule>
    <cfRule type="cellIs" dxfId="69" priority="7" operator="greaterThan">
      <formula>0</formula>
    </cfRule>
    <cfRule type="cellIs" dxfId="68" priority="8" operator="lessThan">
      <formula>0</formula>
    </cfRule>
  </conditionalFormatting>
  <conditionalFormatting sqref="J5:K96">
    <cfRule type="cellIs" dxfId="67" priority="1" operator="lessThan">
      <formula>0</formula>
    </cfRule>
    <cfRule type="cellIs" dxfId="66" priority="2" operator="greaterThan">
      <formula>0</formula>
    </cfRule>
    <cfRule type="cellIs" dxfId="65" priority="3" operator="greaterThan">
      <formula>0</formula>
    </cfRule>
    <cfRule type="cellIs" dxfId="64" priority="4" operator="lessThan">
      <formula>0</formula>
    </cfRule>
  </conditionalFormatting>
  <pageMargins left="0.7" right="0.7" top="0.75" bottom="0.75" header="0.3" footer="0.3"/>
  <pageSetup paperSize="9" scale="88" orientation="portrait" r:id="rId1"/>
  <rowBreaks count="1" manualBreakCount="1">
    <brk id="5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96"/>
  <sheetViews>
    <sheetView topLeftCell="A22" zoomScaleNormal="100" workbookViewId="0">
      <selection activeCell="B81" sqref="B81"/>
    </sheetView>
  </sheetViews>
  <sheetFormatPr defaultColWidth="9" defaultRowHeight="12.75"/>
  <cols>
    <col min="1" max="1" width="26.28515625" style="28" customWidth="1"/>
    <col min="2" max="2" width="8.5703125" style="28" customWidth="1"/>
    <col min="3" max="4" width="7.28515625" style="28" bestFit="1" customWidth="1"/>
    <col min="5" max="6" width="6.5703125" style="28" bestFit="1" customWidth="1"/>
    <col min="7" max="8" width="8" style="62" bestFit="1" customWidth="1"/>
    <col min="9" max="9" width="8.85546875" style="62" bestFit="1" customWidth="1"/>
    <col min="10" max="11" width="6.5703125" style="28" bestFit="1" customWidth="1"/>
    <col min="12" max="16384" width="9" style="28"/>
  </cols>
  <sheetData>
    <row r="1" spans="1:11">
      <c r="A1" s="8" t="s">
        <v>129</v>
      </c>
      <c r="B1" s="8"/>
      <c r="C1" s="62"/>
      <c r="D1" s="62"/>
      <c r="E1" s="62"/>
      <c r="F1" s="62"/>
      <c r="J1" s="1"/>
    </row>
    <row r="2" spans="1:11" ht="13.5" thickBot="1">
      <c r="A2" s="1" t="s">
        <v>237</v>
      </c>
      <c r="B2" s="29"/>
      <c r="C2" s="29"/>
      <c r="D2" s="29"/>
      <c r="G2" s="63"/>
      <c r="H2" s="63"/>
      <c r="I2" s="63"/>
    </row>
    <row r="3" spans="1:11" ht="13.5" thickBot="1">
      <c r="A3" s="10"/>
      <c r="B3" s="344" t="s">
        <v>94</v>
      </c>
      <c r="C3" s="345"/>
      <c r="D3" s="346"/>
      <c r="E3" s="341" t="s">
        <v>0</v>
      </c>
      <c r="F3" s="343"/>
      <c r="G3" s="326" t="s">
        <v>95</v>
      </c>
      <c r="H3" s="331"/>
      <c r="I3" s="327"/>
      <c r="J3" s="341" t="s">
        <v>0</v>
      </c>
      <c r="K3" s="343"/>
    </row>
    <row r="4" spans="1:11" ht="13.5" thickBot="1">
      <c r="A4" s="5"/>
      <c r="B4" s="83">
        <v>2017</v>
      </c>
      <c r="C4" s="83">
        <v>2016</v>
      </c>
      <c r="D4" s="141">
        <v>2015</v>
      </c>
      <c r="E4" s="21" t="s">
        <v>214</v>
      </c>
      <c r="F4" s="21" t="s">
        <v>215</v>
      </c>
      <c r="G4" s="86">
        <v>2017</v>
      </c>
      <c r="H4" s="140">
        <v>2016</v>
      </c>
      <c r="I4" s="68">
        <v>2015</v>
      </c>
      <c r="J4" s="21" t="s">
        <v>214</v>
      </c>
      <c r="K4" s="21" t="s">
        <v>215</v>
      </c>
    </row>
    <row r="5" spans="1:11">
      <c r="A5" s="7" t="s">
        <v>1</v>
      </c>
      <c r="B5" s="274">
        <f>B6+B27+B35+B79+B91+B96</f>
        <v>346.90000000000003</v>
      </c>
      <c r="C5" s="222">
        <v>297.32799999999997</v>
      </c>
      <c r="D5" s="222">
        <v>281.51400000000001</v>
      </c>
      <c r="E5" s="76">
        <f>B5/C5-1</f>
        <v>0.16672496367647871</v>
      </c>
      <c r="F5" s="18">
        <f>B5/D5-1</f>
        <v>0.23226553563943542</v>
      </c>
      <c r="G5" s="209">
        <f>B5+Apr!G5</f>
        <v>1432.8000000000002</v>
      </c>
      <c r="H5" s="209">
        <f>C5+Apr!H5</f>
        <v>1146.8900000000001</v>
      </c>
      <c r="I5" s="210">
        <f>D5+Apr!I5</f>
        <v>1164.384</v>
      </c>
      <c r="J5" s="17">
        <f>G5/H5-1</f>
        <v>0.24929156239918382</v>
      </c>
      <c r="K5" s="18">
        <f>G5/I5-1</f>
        <v>0.23052188968587695</v>
      </c>
    </row>
    <row r="6" spans="1:11">
      <c r="A6" s="7" t="s">
        <v>2</v>
      </c>
      <c r="B6" s="274">
        <f>B8+B21+B58+B59+B60+B62</f>
        <v>49.500000000000007</v>
      </c>
      <c r="C6" s="211">
        <v>35.604999999999997</v>
      </c>
      <c r="D6" s="211">
        <v>29.872</v>
      </c>
      <c r="E6" s="73">
        <f t="shared" ref="E6:E69" si="0">B6/C6-1</f>
        <v>0.39025417778401938</v>
      </c>
      <c r="F6" s="31">
        <f t="shared" ref="F6:F69" si="1">B6/D6-1</f>
        <v>0.65707016604177859</v>
      </c>
      <c r="G6" s="209">
        <f>B6+Apr!G6</f>
        <v>187.1</v>
      </c>
      <c r="H6" s="209">
        <f>C6+Apr!H6</f>
        <v>120.12</v>
      </c>
      <c r="I6" s="210">
        <f>D6+Apr!I6</f>
        <v>108.33200000000001</v>
      </c>
      <c r="J6" s="30">
        <f t="shared" ref="J6:J69" si="2">G6/H6-1</f>
        <v>0.55760905760905755</v>
      </c>
      <c r="K6" s="31">
        <f t="shared" ref="K6:K69" si="3">G6/I6-1</f>
        <v>0.72709817966990342</v>
      </c>
    </row>
    <row r="7" spans="1:11">
      <c r="A7" s="7"/>
      <c r="B7" s="274"/>
      <c r="C7" s="211">
        <v>0</v>
      </c>
      <c r="D7" s="211">
        <v>0</v>
      </c>
      <c r="E7" s="73"/>
      <c r="F7" s="31"/>
      <c r="G7" s="209"/>
      <c r="H7" s="209"/>
      <c r="I7" s="210">
        <f>D7+Apr!I7</f>
        <v>0</v>
      </c>
      <c r="J7" s="30"/>
      <c r="K7" s="31"/>
    </row>
    <row r="8" spans="1:11">
      <c r="A8" s="7" t="s">
        <v>3</v>
      </c>
      <c r="B8" s="274">
        <f>SUM(B9:B19)</f>
        <v>39.20000000000001</v>
      </c>
      <c r="C8" s="211">
        <v>26.986000000000001</v>
      </c>
      <c r="D8" s="211">
        <v>22.053000000000001</v>
      </c>
      <c r="E8" s="73">
        <f t="shared" si="0"/>
        <v>0.45260505447268984</v>
      </c>
      <c r="F8" s="31">
        <f t="shared" si="1"/>
        <v>0.77753593615381167</v>
      </c>
      <c r="G8" s="209">
        <f>B8+Apr!G8</f>
        <v>144.30000000000001</v>
      </c>
      <c r="H8" s="209">
        <f>C8+Apr!H8</f>
        <v>91.024000000000001</v>
      </c>
      <c r="I8" s="210">
        <f>D8+Apr!I8</f>
        <v>80.509</v>
      </c>
      <c r="J8" s="30">
        <f t="shared" si="2"/>
        <v>0.58529618562137475</v>
      </c>
      <c r="K8" s="31">
        <f t="shared" si="3"/>
        <v>0.79234619731955447</v>
      </c>
    </row>
    <row r="9" spans="1:11">
      <c r="A9" s="7" t="s">
        <v>4</v>
      </c>
      <c r="B9" s="274">
        <v>13</v>
      </c>
      <c r="C9" s="211">
        <v>9.2929999999999993</v>
      </c>
      <c r="D9" s="211">
        <v>8.2840000000000007</v>
      </c>
      <c r="E9" s="73">
        <f t="shared" si="0"/>
        <v>0.39890239965565488</v>
      </c>
      <c r="F9" s="31">
        <f t="shared" si="1"/>
        <v>0.56929019797199398</v>
      </c>
      <c r="G9" s="209">
        <f>B9+Apr!G9</f>
        <v>27.8</v>
      </c>
      <c r="H9" s="209">
        <f>C9+Apr!H9</f>
        <v>21.137</v>
      </c>
      <c r="I9" s="210">
        <f>D9+Apr!I9</f>
        <v>19.926000000000002</v>
      </c>
      <c r="J9" s="30">
        <f t="shared" si="2"/>
        <v>0.31522921890523725</v>
      </c>
      <c r="K9" s="31">
        <f t="shared" si="3"/>
        <v>0.39516209976914585</v>
      </c>
    </row>
    <row r="10" spans="1:11">
      <c r="A10" s="7" t="s">
        <v>5</v>
      </c>
      <c r="B10" s="274">
        <v>0.7</v>
      </c>
      <c r="C10" s="211">
        <v>0.48399999999999999</v>
      </c>
      <c r="D10" s="211">
        <v>0.49399999999999999</v>
      </c>
      <c r="E10" s="73">
        <f t="shared" si="0"/>
        <v>0.44628099173553704</v>
      </c>
      <c r="F10" s="31">
        <f t="shared" si="1"/>
        <v>0.41700404858299578</v>
      </c>
      <c r="G10" s="209">
        <f>B10+Apr!G10</f>
        <v>3.5999999999999996</v>
      </c>
      <c r="H10" s="209">
        <f>C10+Apr!H10</f>
        <v>2.2320000000000002</v>
      </c>
      <c r="I10" s="210">
        <f>D10+Apr!I10</f>
        <v>1.9419999999999999</v>
      </c>
      <c r="J10" s="30">
        <f t="shared" si="2"/>
        <v>0.61290322580645129</v>
      </c>
      <c r="K10" s="31">
        <f t="shared" si="3"/>
        <v>0.85375901132852716</v>
      </c>
    </row>
    <row r="11" spans="1:11">
      <c r="A11" s="7" t="s">
        <v>6</v>
      </c>
      <c r="B11" s="274">
        <v>2.8</v>
      </c>
      <c r="C11" s="211">
        <v>2.2280000000000002</v>
      </c>
      <c r="D11" s="211">
        <v>2.5059999999999998</v>
      </c>
      <c r="E11" s="73">
        <f t="shared" si="0"/>
        <v>0.25673249551166943</v>
      </c>
      <c r="F11" s="31">
        <f t="shared" si="1"/>
        <v>0.11731843575418988</v>
      </c>
      <c r="G11" s="209">
        <f>B11+Apr!G11</f>
        <v>17.600000000000001</v>
      </c>
      <c r="H11" s="209">
        <f>C11+Apr!H11</f>
        <v>9.6780000000000008</v>
      </c>
      <c r="I11" s="210">
        <f>D11+Apr!I11</f>
        <v>9.7189999999999994</v>
      </c>
      <c r="J11" s="30">
        <f t="shared" si="2"/>
        <v>0.8185575532134739</v>
      </c>
      <c r="K11" s="31">
        <f t="shared" si="3"/>
        <v>0.81088589361045393</v>
      </c>
    </row>
    <row r="12" spans="1:11">
      <c r="A12" s="7" t="s">
        <v>86</v>
      </c>
      <c r="B12" s="274">
        <v>1</v>
      </c>
      <c r="C12" s="211">
        <v>0.46300000000000002</v>
      </c>
      <c r="D12" s="211">
        <v>0.27200000000000002</v>
      </c>
      <c r="E12" s="73">
        <f t="shared" si="0"/>
        <v>1.159827213822894</v>
      </c>
      <c r="F12" s="31">
        <f t="shared" si="1"/>
        <v>2.6764705882352939</v>
      </c>
      <c r="G12" s="209">
        <f>B12+Apr!G12</f>
        <v>3</v>
      </c>
      <c r="H12" s="209">
        <f>C12+Apr!H12</f>
        <v>1.7690000000000001</v>
      </c>
      <c r="I12" s="210">
        <f>D12+Apr!I12</f>
        <v>1.772</v>
      </c>
      <c r="J12" s="30">
        <f t="shared" si="2"/>
        <v>0.6958733747880157</v>
      </c>
      <c r="K12" s="31">
        <f t="shared" si="3"/>
        <v>0.69300225733634302</v>
      </c>
    </row>
    <row r="13" spans="1:11">
      <c r="A13" s="7" t="s">
        <v>8</v>
      </c>
      <c r="B13" s="274">
        <v>12.9</v>
      </c>
      <c r="C13" s="211">
        <v>8.5909999999999993</v>
      </c>
      <c r="D13" s="211">
        <v>5.0599999999999996</v>
      </c>
      <c r="E13" s="73">
        <f t="shared" si="0"/>
        <v>0.50157141194273103</v>
      </c>
      <c r="F13" s="31">
        <f t="shared" si="1"/>
        <v>1.5494071146245063</v>
      </c>
      <c r="G13" s="209">
        <f>B13+Apr!G13</f>
        <v>48.699999999999996</v>
      </c>
      <c r="H13" s="209">
        <f>C13+Apr!H13</f>
        <v>25.177999999999997</v>
      </c>
      <c r="I13" s="210">
        <f>D13+Apr!I13</f>
        <v>18.690999999999999</v>
      </c>
      <c r="J13" s="30">
        <f t="shared" si="2"/>
        <v>0.93422829454285483</v>
      </c>
      <c r="K13" s="31">
        <f t="shared" si="3"/>
        <v>1.6055320742603389</v>
      </c>
    </row>
    <row r="14" spans="1:11">
      <c r="A14" s="7" t="s">
        <v>9</v>
      </c>
      <c r="B14" s="274">
        <v>1.5</v>
      </c>
      <c r="C14" s="211">
        <v>1.004</v>
      </c>
      <c r="D14" s="211">
        <v>0.80400000000000005</v>
      </c>
      <c r="E14" s="73">
        <f t="shared" si="0"/>
        <v>0.49402390438247012</v>
      </c>
      <c r="F14" s="31">
        <f t="shared" si="1"/>
        <v>0.86567164179104461</v>
      </c>
      <c r="G14" s="209">
        <f>B14+Apr!G14</f>
        <v>6.6</v>
      </c>
      <c r="H14" s="209">
        <f>C14+Apr!H14</f>
        <v>4.5110000000000001</v>
      </c>
      <c r="I14" s="210">
        <f>D14+Apr!I14</f>
        <v>4.6310000000000002</v>
      </c>
      <c r="J14" s="30">
        <f t="shared" si="2"/>
        <v>0.46309022389714016</v>
      </c>
      <c r="K14" s="31">
        <f t="shared" si="3"/>
        <v>0.42517814726840841</v>
      </c>
    </row>
    <row r="15" spans="1:11">
      <c r="A15" s="7" t="s">
        <v>10</v>
      </c>
      <c r="B15" s="274">
        <v>1.1000000000000001</v>
      </c>
      <c r="C15" s="211">
        <v>0.44500000000000001</v>
      </c>
      <c r="D15" s="211">
        <v>0.47799999999999998</v>
      </c>
      <c r="E15" s="73">
        <f t="shared" si="0"/>
        <v>1.4719101123595508</v>
      </c>
      <c r="F15" s="31">
        <f t="shared" si="1"/>
        <v>1.3012552301255234</v>
      </c>
      <c r="G15" s="209">
        <f>B15+Apr!G15</f>
        <v>4.3000000000000007</v>
      </c>
      <c r="H15" s="209">
        <f>C15+Apr!H15</f>
        <v>2.6409999999999996</v>
      </c>
      <c r="I15" s="210">
        <f>D15+Apr!I15</f>
        <v>2.6369999999999996</v>
      </c>
      <c r="J15" s="30">
        <f t="shared" si="2"/>
        <v>0.62817114729269274</v>
      </c>
      <c r="K15" s="31">
        <f t="shared" si="3"/>
        <v>0.63064087978763794</v>
      </c>
    </row>
    <row r="16" spans="1:11">
      <c r="A16" s="7" t="s">
        <v>11</v>
      </c>
      <c r="B16" s="274">
        <v>3.7</v>
      </c>
      <c r="C16" s="211">
        <v>2.157</v>
      </c>
      <c r="D16" s="211">
        <v>1.9890000000000001</v>
      </c>
      <c r="E16" s="73">
        <f t="shared" si="0"/>
        <v>0.71534538711172924</v>
      </c>
      <c r="F16" s="31">
        <f t="shared" si="1"/>
        <v>0.86023127199597793</v>
      </c>
      <c r="G16" s="209">
        <f>B16+Apr!G16</f>
        <v>19.600000000000001</v>
      </c>
      <c r="H16" s="209">
        <f>C16+Apr!H16</f>
        <v>14.033000000000001</v>
      </c>
      <c r="I16" s="210">
        <f>D16+Apr!I16</f>
        <v>12.034000000000001</v>
      </c>
      <c r="J16" s="30">
        <f t="shared" si="2"/>
        <v>0.39670776027934163</v>
      </c>
      <c r="K16" s="31">
        <f t="shared" si="3"/>
        <v>0.62871863054678423</v>
      </c>
    </row>
    <row r="17" spans="1:11">
      <c r="A17" s="7" t="s">
        <v>12</v>
      </c>
      <c r="B17" s="274">
        <v>0.7</v>
      </c>
      <c r="C17" s="211">
        <v>0.84399999999999997</v>
      </c>
      <c r="D17" s="211">
        <v>0.93200000000000005</v>
      </c>
      <c r="E17" s="73">
        <f t="shared" si="0"/>
        <v>-0.17061611374407581</v>
      </c>
      <c r="F17" s="31">
        <f t="shared" si="1"/>
        <v>-0.24892703862660948</v>
      </c>
      <c r="G17" s="209">
        <f>B17+Apr!G17</f>
        <v>4.0999999999999996</v>
      </c>
      <c r="H17" s="209">
        <f>C17+Apr!H17</f>
        <v>4.0289999999999999</v>
      </c>
      <c r="I17" s="210">
        <f>D17+Apr!I17</f>
        <v>3.5020000000000002</v>
      </c>
      <c r="J17" s="30">
        <f t="shared" si="2"/>
        <v>1.7622238768925325E-2</v>
      </c>
      <c r="K17" s="31">
        <f t="shared" si="3"/>
        <v>0.17075956596230712</v>
      </c>
    </row>
    <row r="18" spans="1:11">
      <c r="A18" s="7" t="s">
        <v>13</v>
      </c>
      <c r="B18" s="274">
        <v>0.2</v>
      </c>
      <c r="C18" s="211">
        <v>0.17699999999999999</v>
      </c>
      <c r="D18" s="211">
        <v>0.26800000000000002</v>
      </c>
      <c r="E18" s="73">
        <f t="shared" si="0"/>
        <v>0.12994350282485878</v>
      </c>
      <c r="F18" s="31">
        <f t="shared" si="1"/>
        <v>-0.25373134328358204</v>
      </c>
      <c r="G18" s="209">
        <f>B18+Apr!G18</f>
        <v>1.2</v>
      </c>
      <c r="H18" s="209">
        <f>C18+Apr!H18</f>
        <v>0.85699999999999998</v>
      </c>
      <c r="I18" s="210">
        <f>D18+Apr!I18</f>
        <v>1.0329999999999999</v>
      </c>
      <c r="J18" s="30">
        <f t="shared" si="2"/>
        <v>0.40023337222870481</v>
      </c>
      <c r="K18" s="31">
        <f t="shared" si="3"/>
        <v>0.16166505324298175</v>
      </c>
    </row>
    <row r="19" spans="1:11">
      <c r="A19" s="7" t="s">
        <v>14</v>
      </c>
      <c r="B19" s="274">
        <v>1.6</v>
      </c>
      <c r="C19" s="211">
        <v>1.3</v>
      </c>
      <c r="D19" s="211">
        <v>0.96599999999999997</v>
      </c>
      <c r="E19" s="73">
        <f t="shared" si="0"/>
        <v>0.23076923076923084</v>
      </c>
      <c r="F19" s="31">
        <f t="shared" si="1"/>
        <v>0.65631469979296075</v>
      </c>
      <c r="G19" s="209">
        <f>B19+Apr!G19</f>
        <v>7.7999999999999989</v>
      </c>
      <c r="H19" s="209">
        <f>C19+Apr!H19</f>
        <v>4.9589999999999996</v>
      </c>
      <c r="I19" s="210">
        <f>D19+Apr!I19</f>
        <v>4.6219999999999999</v>
      </c>
      <c r="J19" s="30">
        <f t="shared" si="2"/>
        <v>0.57289776164549289</v>
      </c>
      <c r="K19" s="31">
        <f t="shared" si="3"/>
        <v>0.68758113370835128</v>
      </c>
    </row>
    <row r="20" spans="1:11">
      <c r="A20" s="7"/>
      <c r="B20" s="274"/>
      <c r="C20" s="211">
        <v>0</v>
      </c>
      <c r="D20" s="211">
        <v>0</v>
      </c>
      <c r="E20" s="73"/>
      <c r="F20" s="31"/>
      <c r="G20" s="209"/>
      <c r="H20" s="209"/>
      <c r="I20" s="210">
        <f>D20+Apr!I20</f>
        <v>0</v>
      </c>
      <c r="J20" s="30"/>
      <c r="K20" s="31"/>
    </row>
    <row r="21" spans="1:11">
      <c r="A21" s="7" t="s">
        <v>15</v>
      </c>
      <c r="B21" s="274">
        <f>SUM(B22:B25)</f>
        <v>7.8</v>
      </c>
      <c r="C21" s="211">
        <v>8.6189999999999998</v>
      </c>
      <c r="D21" s="211">
        <v>7.819</v>
      </c>
      <c r="E21" s="73">
        <f t="shared" si="0"/>
        <v>-9.5022624434389136E-2</v>
      </c>
      <c r="F21" s="31">
        <f t="shared" si="1"/>
        <v>-2.429978258089327E-3</v>
      </c>
      <c r="G21" s="209">
        <f>B21+Apr!G21</f>
        <v>33.1</v>
      </c>
      <c r="H21" s="209">
        <f>C21+Apr!H21</f>
        <v>29.095999999999997</v>
      </c>
      <c r="I21" s="210">
        <f>D21+Apr!I21</f>
        <v>27.823</v>
      </c>
      <c r="J21" s="30">
        <f t="shared" si="2"/>
        <v>0.13761341765191104</v>
      </c>
      <c r="K21" s="31">
        <f t="shared" si="3"/>
        <v>0.18966322826438553</v>
      </c>
    </row>
    <row r="22" spans="1:11">
      <c r="A22" s="7" t="s">
        <v>16</v>
      </c>
      <c r="B22" s="274">
        <v>0.6</v>
      </c>
      <c r="C22" s="211">
        <v>0.47799999999999998</v>
      </c>
      <c r="D22" s="211">
        <v>0.44</v>
      </c>
      <c r="E22" s="73">
        <f t="shared" si="0"/>
        <v>0.2552301255230125</v>
      </c>
      <c r="F22" s="31">
        <f t="shared" si="1"/>
        <v>0.36363636363636354</v>
      </c>
      <c r="G22" s="209">
        <f>B22+Apr!G22</f>
        <v>3.5000000000000004</v>
      </c>
      <c r="H22" s="209">
        <f>C22+Apr!H22</f>
        <v>2.4719999999999995</v>
      </c>
      <c r="I22" s="210">
        <f>D22+Apr!I22</f>
        <v>2.3319999999999999</v>
      </c>
      <c r="J22" s="30">
        <f t="shared" si="2"/>
        <v>0.41585760517799408</v>
      </c>
      <c r="K22" s="31">
        <f t="shared" si="3"/>
        <v>0.50085763293310492</v>
      </c>
    </row>
    <row r="23" spans="1:11">
      <c r="A23" s="7" t="s">
        <v>17</v>
      </c>
      <c r="B23" s="274">
        <v>5.4</v>
      </c>
      <c r="C23" s="211">
        <v>5.7320000000000002</v>
      </c>
      <c r="D23" s="211">
        <v>4.5039999999999996</v>
      </c>
      <c r="E23" s="73">
        <f t="shared" si="0"/>
        <v>-5.7920446615491894E-2</v>
      </c>
      <c r="F23" s="31">
        <f t="shared" si="1"/>
        <v>0.19893428063943186</v>
      </c>
      <c r="G23" s="209">
        <f>B23+Apr!G23</f>
        <v>19</v>
      </c>
      <c r="H23" s="209">
        <f>C23+Apr!H23</f>
        <v>15.670999999999999</v>
      </c>
      <c r="I23" s="210">
        <f>D23+Apr!I23</f>
        <v>12.961</v>
      </c>
      <c r="J23" s="30">
        <f t="shared" si="2"/>
        <v>0.21243060430093808</v>
      </c>
      <c r="K23" s="31">
        <f t="shared" si="3"/>
        <v>0.46593627034951002</v>
      </c>
    </row>
    <row r="24" spans="1:11">
      <c r="A24" s="7" t="s">
        <v>18</v>
      </c>
      <c r="B24" s="274">
        <v>1.1000000000000001</v>
      </c>
      <c r="C24" s="211">
        <v>1.4810000000000001</v>
      </c>
      <c r="D24" s="211">
        <v>1.9079999999999999</v>
      </c>
      <c r="E24" s="73">
        <f t="shared" si="0"/>
        <v>-0.25725860904794062</v>
      </c>
      <c r="F24" s="31">
        <f t="shared" si="1"/>
        <v>-0.42348008385744229</v>
      </c>
      <c r="G24" s="209">
        <f>B24+Apr!G24</f>
        <v>5.7000000000000011</v>
      </c>
      <c r="H24" s="209">
        <f>C24+Apr!H24</f>
        <v>6.0249999999999995</v>
      </c>
      <c r="I24" s="210">
        <f>D24+Apr!I24</f>
        <v>7.3309999999999995</v>
      </c>
      <c r="J24" s="30">
        <f t="shared" si="2"/>
        <v>-5.3941908713692643E-2</v>
      </c>
      <c r="K24" s="31">
        <f t="shared" si="3"/>
        <v>-0.22247987996180585</v>
      </c>
    </row>
    <row r="25" spans="1:11">
      <c r="A25" s="7" t="s">
        <v>19</v>
      </c>
      <c r="B25" s="274">
        <v>0.7</v>
      </c>
      <c r="C25" s="211">
        <v>0.92800000000000005</v>
      </c>
      <c r="D25" s="211">
        <v>0.96699999999999997</v>
      </c>
      <c r="E25" s="73">
        <f t="shared" si="0"/>
        <v>-0.24568965517241392</v>
      </c>
      <c r="F25" s="31">
        <f t="shared" si="1"/>
        <v>-0.27611168562564636</v>
      </c>
      <c r="G25" s="209">
        <f>B25+Apr!G25</f>
        <v>4.9000000000000004</v>
      </c>
      <c r="H25" s="209">
        <f>C25+Apr!H25</f>
        <v>4.9279999999999999</v>
      </c>
      <c r="I25" s="210">
        <f>D25+Apr!I25</f>
        <v>5.1989999999999998</v>
      </c>
      <c r="J25" s="30">
        <f t="shared" si="2"/>
        <v>-5.6818181818181213E-3</v>
      </c>
      <c r="K25" s="31">
        <f t="shared" si="3"/>
        <v>-5.7511059819195909E-2</v>
      </c>
    </row>
    <row r="26" spans="1:11">
      <c r="A26" s="7"/>
      <c r="B26" s="274"/>
      <c r="C26" s="211">
        <v>0</v>
      </c>
      <c r="D26" s="211">
        <v>0</v>
      </c>
      <c r="E26" s="73"/>
      <c r="F26" s="31"/>
      <c r="G26" s="209"/>
      <c r="H26" s="209"/>
      <c r="I26" s="210">
        <f>D26+Apr!I26</f>
        <v>0</v>
      </c>
      <c r="J26" s="30"/>
      <c r="K26" s="31"/>
    </row>
    <row r="27" spans="1:11">
      <c r="A27" s="7" t="s">
        <v>20</v>
      </c>
      <c r="B27" s="274">
        <f>SUM(B28:B33)</f>
        <v>5.9</v>
      </c>
      <c r="C27" s="211">
        <v>4.3879999999999999</v>
      </c>
      <c r="D27" s="211">
        <v>5.0419999999999998</v>
      </c>
      <c r="E27" s="73">
        <f t="shared" si="0"/>
        <v>0.34457611668185972</v>
      </c>
      <c r="F27" s="31">
        <f t="shared" si="1"/>
        <v>0.17017056723522428</v>
      </c>
      <c r="G27" s="209">
        <f>B27+Apr!G27</f>
        <v>28.299999999999997</v>
      </c>
      <c r="H27" s="209">
        <f>C27+Apr!H27</f>
        <v>26.807000000000002</v>
      </c>
      <c r="I27" s="210">
        <f>D27+Apr!I27</f>
        <v>26.896999999999998</v>
      </c>
      <c r="J27" s="30">
        <f t="shared" si="2"/>
        <v>5.5694408176968579E-2</v>
      </c>
      <c r="K27" s="31">
        <f t="shared" si="3"/>
        <v>5.2161951146967978E-2</v>
      </c>
    </row>
    <row r="28" spans="1:11">
      <c r="A28" s="7" t="s">
        <v>21</v>
      </c>
      <c r="B28" s="274">
        <v>2.4</v>
      </c>
      <c r="C28" s="211">
        <v>1.903</v>
      </c>
      <c r="D28" s="211">
        <v>1.532</v>
      </c>
      <c r="E28" s="73">
        <f t="shared" si="0"/>
        <v>0.2611665790856541</v>
      </c>
      <c r="F28" s="31">
        <f t="shared" si="1"/>
        <v>0.56657963446475179</v>
      </c>
      <c r="G28" s="209">
        <f>B28+Apr!G28</f>
        <v>8.8000000000000007</v>
      </c>
      <c r="H28" s="209">
        <f>C28+Apr!H28</f>
        <v>6.8420000000000005</v>
      </c>
      <c r="I28" s="210">
        <f>D28+Apr!I28</f>
        <v>6.891</v>
      </c>
      <c r="J28" s="30">
        <f t="shared" si="2"/>
        <v>0.2861736334405145</v>
      </c>
      <c r="K28" s="31">
        <f t="shared" si="3"/>
        <v>0.27702800754607471</v>
      </c>
    </row>
    <row r="29" spans="1:11">
      <c r="A29" s="7" t="s">
        <v>22</v>
      </c>
      <c r="B29" s="274">
        <v>0.2</v>
      </c>
      <c r="C29" s="211">
        <v>0.29799999999999999</v>
      </c>
      <c r="D29" s="211">
        <v>0.14299999999999999</v>
      </c>
      <c r="E29" s="73">
        <f t="shared" si="0"/>
        <v>-0.32885906040268453</v>
      </c>
      <c r="F29" s="31">
        <f t="shared" si="1"/>
        <v>0.39860139860139876</v>
      </c>
      <c r="G29" s="209">
        <f>B29+Apr!G29</f>
        <v>5.7</v>
      </c>
      <c r="H29" s="209">
        <f>C29+Apr!H29</f>
        <v>7.6230000000000002</v>
      </c>
      <c r="I29" s="210">
        <f>D29+Apr!I29</f>
        <v>5.1260000000000003</v>
      </c>
      <c r="J29" s="30">
        <f t="shared" si="2"/>
        <v>-0.25226288862652502</v>
      </c>
      <c r="K29" s="31">
        <f t="shared" si="3"/>
        <v>0.11197815060475991</v>
      </c>
    </row>
    <row r="30" spans="1:11">
      <c r="A30" s="7" t="s">
        <v>23</v>
      </c>
      <c r="B30" s="274">
        <v>0.2</v>
      </c>
      <c r="C30" s="211">
        <v>0.182</v>
      </c>
      <c r="D30" s="211">
        <v>0.247</v>
      </c>
      <c r="E30" s="73">
        <f t="shared" si="0"/>
        <v>9.8901098901098994E-2</v>
      </c>
      <c r="F30" s="31">
        <f t="shared" si="1"/>
        <v>-0.19028340080971651</v>
      </c>
      <c r="G30" s="209">
        <f>B30+Apr!G30</f>
        <v>1.4000000000000001</v>
      </c>
      <c r="H30" s="209">
        <f>C30+Apr!H30</f>
        <v>1.298</v>
      </c>
      <c r="I30" s="210">
        <f>D30+Apr!I30</f>
        <v>1.4859999999999998</v>
      </c>
      <c r="J30" s="30">
        <f t="shared" si="2"/>
        <v>7.8582434514637978E-2</v>
      </c>
      <c r="K30" s="31">
        <f t="shared" si="3"/>
        <v>-5.7873485868102037E-2</v>
      </c>
    </row>
    <row r="31" spans="1:11">
      <c r="A31" s="6" t="s">
        <v>24</v>
      </c>
      <c r="B31" s="274">
        <v>1.2</v>
      </c>
      <c r="C31" s="211">
        <v>0.33400000000000002</v>
      </c>
      <c r="D31" s="211">
        <v>0.78</v>
      </c>
      <c r="E31" s="73">
        <f t="shared" si="0"/>
        <v>2.5928143712574845</v>
      </c>
      <c r="F31" s="31">
        <f t="shared" si="1"/>
        <v>0.53846153846153832</v>
      </c>
      <c r="G31" s="209">
        <f>B31+Apr!G31</f>
        <v>2.5999999999999996</v>
      </c>
      <c r="H31" s="209">
        <f>C31+Apr!H31</f>
        <v>2.3650000000000002</v>
      </c>
      <c r="I31" s="210">
        <f>D31+Apr!I31</f>
        <v>4.25</v>
      </c>
      <c r="J31" s="30">
        <f t="shared" si="2"/>
        <v>9.9365750528541019E-2</v>
      </c>
      <c r="K31" s="31">
        <f t="shared" si="3"/>
        <v>-0.38823529411764712</v>
      </c>
    </row>
    <row r="32" spans="1:11">
      <c r="A32" s="6" t="s">
        <v>25</v>
      </c>
      <c r="B32" s="274">
        <v>0.3</v>
      </c>
      <c r="C32" s="211">
        <v>0.215</v>
      </c>
      <c r="D32" s="211">
        <v>0.26</v>
      </c>
      <c r="E32" s="73">
        <f t="shared" si="0"/>
        <v>0.39534883720930236</v>
      </c>
      <c r="F32" s="31">
        <f t="shared" si="1"/>
        <v>0.15384615384615374</v>
      </c>
      <c r="G32" s="209">
        <f>B32+Apr!G32</f>
        <v>1.1000000000000001</v>
      </c>
      <c r="H32" s="209">
        <f>C32+Apr!H32</f>
        <v>1.081</v>
      </c>
      <c r="I32" s="210">
        <f>D32+Apr!I32</f>
        <v>1.2849999999999999</v>
      </c>
      <c r="J32" s="30">
        <f t="shared" si="2"/>
        <v>1.7576318223866849E-2</v>
      </c>
      <c r="K32" s="31">
        <f t="shared" si="3"/>
        <v>-0.14396887159533067</v>
      </c>
    </row>
    <row r="33" spans="1:11">
      <c r="A33" s="7" t="s">
        <v>19</v>
      </c>
      <c r="B33" s="274">
        <v>1.6</v>
      </c>
      <c r="C33" s="211">
        <v>1.456</v>
      </c>
      <c r="D33" s="211">
        <v>2.08</v>
      </c>
      <c r="E33" s="73">
        <f t="shared" si="0"/>
        <v>9.8901098901098994E-2</v>
      </c>
      <c r="F33" s="31">
        <f t="shared" si="1"/>
        <v>-0.23076923076923073</v>
      </c>
      <c r="G33" s="209">
        <f>B33+Apr!G33</f>
        <v>8.6</v>
      </c>
      <c r="H33" s="209">
        <f>C33+Apr!H33</f>
        <v>7.5980000000000008</v>
      </c>
      <c r="I33" s="210">
        <f>D33+Apr!I33</f>
        <v>7.859</v>
      </c>
      <c r="J33" s="30">
        <f t="shared" si="2"/>
        <v>0.13187680968675952</v>
      </c>
      <c r="K33" s="31">
        <f t="shared" si="3"/>
        <v>9.4286804937014912E-2</v>
      </c>
    </row>
    <row r="34" spans="1:11">
      <c r="A34" s="2"/>
      <c r="B34" s="274"/>
      <c r="C34" s="211">
        <v>0</v>
      </c>
      <c r="D34" s="211">
        <v>0</v>
      </c>
      <c r="E34" s="73"/>
      <c r="F34" s="31"/>
      <c r="G34" s="209"/>
      <c r="H34" s="209"/>
      <c r="I34" s="210">
        <f>D34+Apr!I34</f>
        <v>0</v>
      </c>
      <c r="J34" s="30"/>
      <c r="K34" s="31"/>
    </row>
    <row r="35" spans="1:11">
      <c r="A35" s="7" t="s">
        <v>26</v>
      </c>
      <c r="B35" s="274">
        <f>B36+SUM(B41:B51)+B54+B55+B56+B57+B63+B64+B65+SUM(B67:B77)</f>
        <v>180.2</v>
      </c>
      <c r="C35" s="211">
        <v>156.03399999999999</v>
      </c>
      <c r="D35" s="211">
        <v>160.91200000000001</v>
      </c>
      <c r="E35" s="73">
        <f t="shared" si="0"/>
        <v>0.15487650127536301</v>
      </c>
      <c r="F35" s="31">
        <f t="shared" si="1"/>
        <v>0.11986675947101499</v>
      </c>
      <c r="G35" s="209">
        <f>B35+Apr!G35</f>
        <v>795.5</v>
      </c>
      <c r="H35" s="209">
        <f>C35+Apr!H35</f>
        <v>648.95000000000005</v>
      </c>
      <c r="I35" s="210">
        <f>D35+Apr!I35</f>
        <v>686.10600000000011</v>
      </c>
      <c r="J35" s="30">
        <f t="shared" si="2"/>
        <v>0.2258263348486016</v>
      </c>
      <c r="K35" s="31">
        <f t="shared" si="3"/>
        <v>0.15944183551812685</v>
      </c>
    </row>
    <row r="36" spans="1:11">
      <c r="A36" s="7" t="s">
        <v>27</v>
      </c>
      <c r="B36" s="274">
        <f>SUM(B37:B40)</f>
        <v>5.6</v>
      </c>
      <c r="C36" s="211">
        <v>4.984</v>
      </c>
      <c r="D36" s="211">
        <v>6.3879999999999999</v>
      </c>
      <c r="E36" s="73">
        <f t="shared" si="0"/>
        <v>0.12359550561797739</v>
      </c>
      <c r="F36" s="31">
        <f t="shared" si="1"/>
        <v>-0.12335629304946782</v>
      </c>
      <c r="G36" s="209">
        <f>B36+Apr!G36</f>
        <v>30.6</v>
      </c>
      <c r="H36" s="209">
        <f>C36+Apr!H36</f>
        <v>28.591000000000001</v>
      </c>
      <c r="I36" s="210">
        <f>D36+Apr!I36</f>
        <v>29.713000000000001</v>
      </c>
      <c r="J36" s="30">
        <f t="shared" si="2"/>
        <v>7.026686719597075E-2</v>
      </c>
      <c r="K36" s="31">
        <f t="shared" si="3"/>
        <v>2.9852253222495184E-2</v>
      </c>
    </row>
    <row r="37" spans="1:11">
      <c r="A37" s="7" t="s">
        <v>28</v>
      </c>
      <c r="B37" s="274">
        <v>0.9</v>
      </c>
      <c r="C37" s="211">
        <v>0.746</v>
      </c>
      <c r="D37" s="211">
        <v>0.75900000000000001</v>
      </c>
      <c r="E37" s="73">
        <f t="shared" si="0"/>
        <v>0.20643431635388754</v>
      </c>
      <c r="F37" s="31">
        <f t="shared" si="1"/>
        <v>0.18577075098814233</v>
      </c>
      <c r="G37" s="209">
        <f>B37+Apr!G37</f>
        <v>7.3000000000000007</v>
      </c>
      <c r="H37" s="209">
        <f>C37+Apr!H37</f>
        <v>6.5259999999999998</v>
      </c>
      <c r="I37" s="210">
        <f>D37+Apr!I37</f>
        <v>5.2119999999999997</v>
      </c>
      <c r="J37" s="30">
        <f t="shared" si="2"/>
        <v>0.11860251302482383</v>
      </c>
      <c r="K37" s="31">
        <f t="shared" si="3"/>
        <v>0.40061396776669245</v>
      </c>
    </row>
    <row r="38" spans="1:11">
      <c r="A38" s="7" t="s">
        <v>29</v>
      </c>
      <c r="B38" s="274">
        <v>2.4</v>
      </c>
      <c r="C38" s="211">
        <v>2.0489999999999999</v>
      </c>
      <c r="D38" s="211">
        <v>2.427</v>
      </c>
      <c r="E38" s="73">
        <f t="shared" si="0"/>
        <v>0.17130307467057104</v>
      </c>
      <c r="F38" s="31">
        <f t="shared" si="1"/>
        <v>-1.1124845488257207E-2</v>
      </c>
      <c r="G38" s="209">
        <f>B38+Apr!G38</f>
        <v>10.3</v>
      </c>
      <c r="H38" s="209">
        <f>C38+Apr!H38</f>
        <v>8.8889999999999993</v>
      </c>
      <c r="I38" s="210">
        <f>D38+Apr!I38</f>
        <v>10.315</v>
      </c>
      <c r="J38" s="30">
        <f t="shared" si="2"/>
        <v>0.15873551580605261</v>
      </c>
      <c r="K38" s="31">
        <f t="shared" si="3"/>
        <v>-1.4541929229276995E-3</v>
      </c>
    </row>
    <row r="39" spans="1:11">
      <c r="A39" s="7" t="s">
        <v>30</v>
      </c>
      <c r="B39" s="274">
        <v>0.9</v>
      </c>
      <c r="C39" s="211">
        <v>1.5089999999999999</v>
      </c>
      <c r="D39" s="211">
        <v>1.468</v>
      </c>
      <c r="E39" s="73">
        <f t="shared" si="0"/>
        <v>-0.40357852882703771</v>
      </c>
      <c r="F39" s="31">
        <f t="shared" si="1"/>
        <v>-0.38692098092643046</v>
      </c>
      <c r="G39" s="209">
        <f>B39+Apr!G39</f>
        <v>5</v>
      </c>
      <c r="H39" s="209">
        <f>C39+Apr!H39</f>
        <v>5.0760000000000005</v>
      </c>
      <c r="I39" s="210">
        <f>D39+Apr!I39</f>
        <v>5.5739999999999998</v>
      </c>
      <c r="J39" s="30">
        <f t="shared" si="2"/>
        <v>-1.4972419227738509E-2</v>
      </c>
      <c r="K39" s="31">
        <f t="shared" si="3"/>
        <v>-0.10297811266594903</v>
      </c>
    </row>
    <row r="40" spans="1:11">
      <c r="A40" s="7" t="s">
        <v>31</v>
      </c>
      <c r="B40" s="274">
        <v>1.4</v>
      </c>
      <c r="C40" s="211">
        <v>0.64500000000000002</v>
      </c>
      <c r="D40" s="211">
        <v>1.7030000000000001</v>
      </c>
      <c r="E40" s="73">
        <f t="shared" si="0"/>
        <v>1.1705426356589146</v>
      </c>
      <c r="F40" s="31">
        <f t="shared" si="1"/>
        <v>-0.17792131532589561</v>
      </c>
      <c r="G40" s="209">
        <f>B40+Apr!G40</f>
        <v>8</v>
      </c>
      <c r="H40" s="209">
        <f>C40+Apr!H40</f>
        <v>7.9290000000000003</v>
      </c>
      <c r="I40" s="210">
        <f>D40+Apr!I40</f>
        <v>8.4530000000000012</v>
      </c>
      <c r="J40" s="30">
        <f t="shared" si="2"/>
        <v>8.954470929499303E-3</v>
      </c>
      <c r="K40" s="31">
        <f t="shared" si="3"/>
        <v>-5.3590441263456912E-2</v>
      </c>
    </row>
    <row r="41" spans="1:11">
      <c r="A41" s="7" t="s">
        <v>32</v>
      </c>
      <c r="B41" s="274">
        <v>19.2</v>
      </c>
      <c r="C41" s="211">
        <v>20.073</v>
      </c>
      <c r="D41" s="211">
        <v>16.504999999999999</v>
      </c>
      <c r="E41" s="73">
        <f t="shared" si="0"/>
        <v>-4.3491256912270293E-2</v>
      </c>
      <c r="F41" s="31">
        <f t="shared" si="1"/>
        <v>0.1632838533777643</v>
      </c>
      <c r="G41" s="209">
        <f>B41+Apr!G41</f>
        <v>79</v>
      </c>
      <c r="H41" s="209">
        <f>C41+Apr!H41</f>
        <v>71.015000000000001</v>
      </c>
      <c r="I41" s="210">
        <f>D41+Apr!I41</f>
        <v>70.453999999999994</v>
      </c>
      <c r="J41" s="30">
        <f t="shared" si="2"/>
        <v>0.1124410335844539</v>
      </c>
      <c r="K41" s="31">
        <f t="shared" si="3"/>
        <v>0.1212990036051893</v>
      </c>
    </row>
    <row r="42" spans="1:11">
      <c r="A42" s="7" t="s">
        <v>33</v>
      </c>
      <c r="B42" s="274">
        <v>0.8</v>
      </c>
      <c r="C42" s="211">
        <v>0.753</v>
      </c>
      <c r="D42" s="211">
        <v>0.747</v>
      </c>
      <c r="E42" s="73">
        <f t="shared" si="0"/>
        <v>6.2416998671978696E-2</v>
      </c>
      <c r="F42" s="31">
        <f t="shared" si="1"/>
        <v>7.0950468540829981E-2</v>
      </c>
      <c r="G42" s="209">
        <f>B42+Apr!G42</f>
        <v>3.9000000000000004</v>
      </c>
      <c r="H42" s="209">
        <f>C42+Apr!H42</f>
        <v>3.5679999999999996</v>
      </c>
      <c r="I42" s="210">
        <f>D42+Apr!I42</f>
        <v>3.1930000000000001</v>
      </c>
      <c r="J42" s="30">
        <f t="shared" si="2"/>
        <v>9.3049327354260303E-2</v>
      </c>
      <c r="K42" s="31">
        <f t="shared" si="3"/>
        <v>0.22142186031944888</v>
      </c>
    </row>
    <row r="43" spans="1:11">
      <c r="A43" s="7" t="s">
        <v>34</v>
      </c>
      <c r="B43" s="274">
        <v>6</v>
      </c>
      <c r="C43" s="211">
        <v>5.3959999999999999</v>
      </c>
      <c r="D43" s="211">
        <v>5.7910000000000004</v>
      </c>
      <c r="E43" s="73">
        <f t="shared" si="0"/>
        <v>0.11193476649369916</v>
      </c>
      <c r="F43" s="31">
        <f t="shared" si="1"/>
        <v>3.6090485235710457E-2</v>
      </c>
      <c r="G43" s="209">
        <f>B43+Apr!G43</f>
        <v>27.700000000000003</v>
      </c>
      <c r="H43" s="209">
        <f>C43+Apr!H43</f>
        <v>21.515000000000001</v>
      </c>
      <c r="I43" s="210">
        <f>D43+Apr!I43</f>
        <v>21.066000000000003</v>
      </c>
      <c r="J43" s="30">
        <f t="shared" si="2"/>
        <v>0.28747385544968629</v>
      </c>
      <c r="K43" s="31">
        <f t="shared" si="3"/>
        <v>0.3149150289566125</v>
      </c>
    </row>
    <row r="44" spans="1:11">
      <c r="A44" s="7" t="s">
        <v>35</v>
      </c>
      <c r="B44" s="274">
        <v>3.4</v>
      </c>
      <c r="C44" s="211">
        <v>3.4820000000000002</v>
      </c>
      <c r="D44" s="211">
        <v>3.0630000000000002</v>
      </c>
      <c r="E44" s="73">
        <f t="shared" si="0"/>
        <v>-2.3549684089603784E-2</v>
      </c>
      <c r="F44" s="31">
        <f t="shared" si="1"/>
        <v>0.11002285341168783</v>
      </c>
      <c r="G44" s="209">
        <f>B44+Apr!G44</f>
        <v>15</v>
      </c>
      <c r="H44" s="209">
        <f>C44+Apr!H44</f>
        <v>13.494</v>
      </c>
      <c r="I44" s="210">
        <f>D44+Apr!I44</f>
        <v>13.64</v>
      </c>
      <c r="J44" s="30">
        <f t="shared" si="2"/>
        <v>0.11160515784793246</v>
      </c>
      <c r="K44" s="31">
        <f t="shared" si="3"/>
        <v>9.9706744868035102E-2</v>
      </c>
    </row>
    <row r="45" spans="1:11">
      <c r="A45" s="6" t="s">
        <v>36</v>
      </c>
      <c r="B45" s="274">
        <v>29.4</v>
      </c>
      <c r="C45" s="211">
        <v>24.305</v>
      </c>
      <c r="D45" s="211">
        <v>27.984999999999999</v>
      </c>
      <c r="E45" s="73">
        <f t="shared" si="0"/>
        <v>0.20962764863196859</v>
      </c>
      <c r="F45" s="31">
        <f t="shared" si="1"/>
        <v>5.0562801500803944E-2</v>
      </c>
      <c r="G45" s="209">
        <f>B45+Apr!G45</f>
        <v>119</v>
      </c>
      <c r="H45" s="209">
        <f>C45+Apr!H45</f>
        <v>108.65100000000001</v>
      </c>
      <c r="I45" s="210">
        <f>D45+Apr!I45</f>
        <v>113.79899999999999</v>
      </c>
      <c r="J45" s="30">
        <f t="shared" si="2"/>
        <v>9.5249928670697814E-2</v>
      </c>
      <c r="K45" s="31">
        <f t="shared" si="3"/>
        <v>4.5703389309220688E-2</v>
      </c>
    </row>
    <row r="46" spans="1:11">
      <c r="A46" s="6" t="s">
        <v>37</v>
      </c>
      <c r="B46" s="274">
        <v>7.9</v>
      </c>
      <c r="C46" s="211">
        <v>7.101</v>
      </c>
      <c r="D46" s="211">
        <v>7.38</v>
      </c>
      <c r="E46" s="73">
        <f t="shared" si="0"/>
        <v>0.11251936346993396</v>
      </c>
      <c r="F46" s="31">
        <f t="shared" si="1"/>
        <v>7.0460704607046232E-2</v>
      </c>
      <c r="G46" s="209">
        <f>B46+Apr!G46</f>
        <v>38.6</v>
      </c>
      <c r="H46" s="209">
        <f>C46+Apr!H46</f>
        <v>30.006</v>
      </c>
      <c r="I46" s="210">
        <f>D46+Apr!I46</f>
        <v>34.395000000000003</v>
      </c>
      <c r="J46" s="30">
        <f t="shared" si="2"/>
        <v>0.28640938478970868</v>
      </c>
      <c r="K46" s="31">
        <f t="shared" si="3"/>
        <v>0.12225614188108724</v>
      </c>
    </row>
    <row r="47" spans="1:11">
      <c r="A47" s="7" t="s">
        <v>38</v>
      </c>
      <c r="B47" s="274">
        <v>4.8</v>
      </c>
      <c r="C47" s="211">
        <v>4.3630000000000004</v>
      </c>
      <c r="D47" s="211">
        <v>4.1509999999999998</v>
      </c>
      <c r="E47" s="73">
        <f t="shared" si="0"/>
        <v>0.10016044006417579</v>
      </c>
      <c r="F47" s="31">
        <f t="shared" si="1"/>
        <v>0.15634786798361833</v>
      </c>
      <c r="G47" s="209">
        <f>B47+Apr!G47</f>
        <v>19.899999999999999</v>
      </c>
      <c r="H47" s="209">
        <f>C47+Apr!H47</f>
        <v>16.741999999999997</v>
      </c>
      <c r="I47" s="210">
        <f>D47+Apr!I47</f>
        <v>16.434999999999999</v>
      </c>
      <c r="J47" s="30">
        <f t="shared" si="2"/>
        <v>0.18862740413331758</v>
      </c>
      <c r="K47" s="31">
        <f t="shared" si="3"/>
        <v>0.21083054456951622</v>
      </c>
    </row>
    <row r="48" spans="1:11">
      <c r="A48" s="7" t="s">
        <v>39</v>
      </c>
      <c r="B48" s="274">
        <v>19</v>
      </c>
      <c r="C48" s="211">
        <v>18.853999999999999</v>
      </c>
      <c r="D48" s="211">
        <v>17.742999999999999</v>
      </c>
      <c r="E48" s="73">
        <f t="shared" si="0"/>
        <v>7.7437148615677742E-3</v>
      </c>
      <c r="F48" s="31">
        <f t="shared" si="1"/>
        <v>7.0844840218677874E-2</v>
      </c>
      <c r="G48" s="209">
        <f>B48+Apr!G48</f>
        <v>88.1</v>
      </c>
      <c r="H48" s="209">
        <f>C48+Apr!H48</f>
        <v>70.513000000000005</v>
      </c>
      <c r="I48" s="210">
        <f>D48+Apr!I48</f>
        <v>68.515000000000001</v>
      </c>
      <c r="J48" s="30">
        <f t="shared" si="2"/>
        <v>0.24941500148908702</v>
      </c>
      <c r="K48" s="31">
        <f t="shared" si="3"/>
        <v>0.28584981390936282</v>
      </c>
    </row>
    <row r="49" spans="1:11">
      <c r="A49" s="7" t="s">
        <v>40</v>
      </c>
      <c r="B49" s="274">
        <v>2.4</v>
      </c>
      <c r="C49" s="211">
        <v>2.3639999999999999</v>
      </c>
      <c r="D49" s="211">
        <v>2.3039999999999998</v>
      </c>
      <c r="E49" s="73">
        <f t="shared" si="0"/>
        <v>1.5228426395939021E-2</v>
      </c>
      <c r="F49" s="31">
        <f t="shared" si="1"/>
        <v>4.1666666666666741E-2</v>
      </c>
      <c r="G49" s="209">
        <f>B49+Apr!G49</f>
        <v>12.500000000000002</v>
      </c>
      <c r="H49" s="209">
        <f>C49+Apr!H49</f>
        <v>10.081</v>
      </c>
      <c r="I49" s="210">
        <f>D49+Apr!I49</f>
        <v>9.9979999999999993</v>
      </c>
      <c r="J49" s="30">
        <f t="shared" si="2"/>
        <v>0.2399563535363558</v>
      </c>
      <c r="K49" s="31">
        <f t="shared" si="3"/>
        <v>0.25025005001000222</v>
      </c>
    </row>
    <row r="50" spans="1:11">
      <c r="A50" s="6" t="s">
        <v>41</v>
      </c>
      <c r="B50" s="274">
        <v>4.4000000000000004</v>
      </c>
      <c r="C50" s="211">
        <v>3.3530000000000002</v>
      </c>
      <c r="D50" s="211">
        <v>3.1459999999999999</v>
      </c>
      <c r="E50" s="73">
        <f t="shared" si="0"/>
        <v>0.31225767968982998</v>
      </c>
      <c r="F50" s="31">
        <f t="shared" si="1"/>
        <v>0.39860139860139876</v>
      </c>
      <c r="G50" s="209">
        <f>B50+Apr!G50</f>
        <v>20.100000000000001</v>
      </c>
      <c r="H50" s="209">
        <f>C50+Apr!H50</f>
        <v>15.308</v>
      </c>
      <c r="I50" s="210">
        <f>D50+Apr!I50</f>
        <v>15.523</v>
      </c>
      <c r="J50" s="30">
        <f t="shared" si="2"/>
        <v>0.31303893389077619</v>
      </c>
      <c r="K50" s="31">
        <f t="shared" si="3"/>
        <v>0.29485279907234441</v>
      </c>
    </row>
    <row r="51" spans="1:11">
      <c r="A51" s="7" t="s">
        <v>42</v>
      </c>
      <c r="B51" s="274">
        <v>0.7</v>
      </c>
      <c r="C51" s="211">
        <v>0.70299999999999996</v>
      </c>
      <c r="D51" s="211">
        <v>0.56699999999999995</v>
      </c>
      <c r="E51" s="73">
        <f t="shared" si="0"/>
        <v>-4.2674253200568613E-3</v>
      </c>
      <c r="F51" s="31">
        <f t="shared" si="1"/>
        <v>0.23456790123456783</v>
      </c>
      <c r="G51" s="209">
        <f>B51+Apr!G51</f>
        <v>3.5</v>
      </c>
      <c r="H51" s="209">
        <f>C51+Apr!H51</f>
        <v>2.9670000000000001</v>
      </c>
      <c r="I51" s="210">
        <f>D51+Apr!I51</f>
        <v>3.2269999999999994</v>
      </c>
      <c r="J51" s="30">
        <f t="shared" si="2"/>
        <v>0.17964273677114928</v>
      </c>
      <c r="K51" s="31">
        <f t="shared" si="3"/>
        <v>8.4598698481562096E-2</v>
      </c>
    </row>
    <row r="52" spans="1:11">
      <c r="A52" s="7"/>
      <c r="B52" s="274"/>
      <c r="C52" s="211">
        <v>0</v>
      </c>
      <c r="D52" s="211">
        <v>0</v>
      </c>
      <c r="E52" s="73"/>
      <c r="F52" s="31"/>
      <c r="G52" s="209"/>
      <c r="H52" s="209"/>
      <c r="I52" s="210">
        <f>D52+Apr!I52</f>
        <v>0</v>
      </c>
      <c r="J52" s="30"/>
      <c r="K52" s="31"/>
    </row>
    <row r="53" spans="1:11">
      <c r="A53" s="7" t="s">
        <v>43</v>
      </c>
      <c r="B53" s="274">
        <f>SUM(B54:B60)</f>
        <v>52.000000000000007</v>
      </c>
      <c r="C53" s="211">
        <v>40.871000000000002</v>
      </c>
      <c r="D53" s="211">
        <v>46.734000000000002</v>
      </c>
      <c r="E53" s="73">
        <f t="shared" si="0"/>
        <v>0.27229575982970822</v>
      </c>
      <c r="F53" s="31">
        <f t="shared" si="1"/>
        <v>0.11268027560234528</v>
      </c>
      <c r="G53" s="209">
        <f>B53+Apr!G53</f>
        <v>212</v>
      </c>
      <c r="H53" s="209">
        <f>C53+Apr!H53</f>
        <v>163.065</v>
      </c>
      <c r="I53" s="210">
        <f>D53+Apr!I53</f>
        <v>190.99100000000001</v>
      </c>
      <c r="J53" s="30">
        <f t="shared" si="2"/>
        <v>0.30009505411952286</v>
      </c>
      <c r="K53" s="31">
        <f t="shared" si="3"/>
        <v>0.10999994764151189</v>
      </c>
    </row>
    <row r="54" spans="1:11">
      <c r="A54" s="7" t="s">
        <v>44</v>
      </c>
      <c r="B54" s="274">
        <v>32.9</v>
      </c>
      <c r="C54" s="211">
        <v>25.437999999999999</v>
      </c>
      <c r="D54" s="211">
        <v>33.213000000000001</v>
      </c>
      <c r="E54" s="73">
        <f t="shared" si="0"/>
        <v>0.29334067143643372</v>
      </c>
      <c r="F54" s="31">
        <f t="shared" si="1"/>
        <v>-9.4240207147804345E-3</v>
      </c>
      <c r="G54" s="209">
        <f>B54+Apr!G54</f>
        <v>136.5</v>
      </c>
      <c r="H54" s="209">
        <f>C54+Apr!H54</f>
        <v>102.56</v>
      </c>
      <c r="I54" s="210">
        <f>D54+Apr!I54</f>
        <v>135.845</v>
      </c>
      <c r="J54" s="30">
        <f t="shared" si="2"/>
        <v>0.33092823712948505</v>
      </c>
      <c r="K54" s="31">
        <f t="shared" si="3"/>
        <v>4.821671758253876E-3</v>
      </c>
    </row>
    <row r="55" spans="1:11">
      <c r="A55" s="7" t="s">
        <v>45</v>
      </c>
      <c r="B55" s="274">
        <v>13.8</v>
      </c>
      <c r="C55" s="211">
        <v>11.459</v>
      </c>
      <c r="D55" s="211">
        <v>10.141</v>
      </c>
      <c r="E55" s="73">
        <f t="shared" si="0"/>
        <v>0.20429356837420376</v>
      </c>
      <c r="F55" s="31">
        <f t="shared" si="1"/>
        <v>0.36081254314170197</v>
      </c>
      <c r="G55" s="209">
        <f>B55+Apr!G55</f>
        <v>57.400000000000006</v>
      </c>
      <c r="H55" s="209">
        <f>C55+Apr!H55</f>
        <v>46.338999999999999</v>
      </c>
      <c r="I55" s="210">
        <f>D55+Apr!I55</f>
        <v>41.661000000000001</v>
      </c>
      <c r="J55" s="30">
        <f t="shared" si="2"/>
        <v>0.23869742549472384</v>
      </c>
      <c r="K55" s="31">
        <f t="shared" si="3"/>
        <v>0.37778737908355553</v>
      </c>
    </row>
    <row r="56" spans="1:11">
      <c r="A56" s="7" t="s">
        <v>46</v>
      </c>
      <c r="B56" s="274">
        <v>2.6</v>
      </c>
      <c r="C56" s="211">
        <v>2.282</v>
      </c>
      <c r="D56" s="211">
        <v>1.5469999999999999</v>
      </c>
      <c r="E56" s="73">
        <f t="shared" si="0"/>
        <v>0.13935144609991235</v>
      </c>
      <c r="F56" s="31">
        <f t="shared" si="1"/>
        <v>0.68067226890756305</v>
      </c>
      <c r="G56" s="209">
        <f>B56+Apr!G56</f>
        <v>7.4</v>
      </c>
      <c r="H56" s="209">
        <f>C56+Apr!H56</f>
        <v>7.7110000000000003</v>
      </c>
      <c r="I56" s="210">
        <f>D56+Apr!I56</f>
        <v>5.633</v>
      </c>
      <c r="J56" s="30">
        <f t="shared" si="2"/>
        <v>-4.0331993256386922E-2</v>
      </c>
      <c r="K56" s="31">
        <f t="shared" si="3"/>
        <v>0.31368720042606069</v>
      </c>
    </row>
    <row r="57" spans="1:11">
      <c r="A57" s="7" t="s">
        <v>47</v>
      </c>
      <c r="B57" s="274">
        <v>1</v>
      </c>
      <c r="C57" s="211">
        <v>0.748</v>
      </c>
      <c r="D57" s="211">
        <v>0.745</v>
      </c>
      <c r="E57" s="73">
        <f t="shared" si="0"/>
        <v>0.33689839572192515</v>
      </c>
      <c r="F57" s="31">
        <f t="shared" si="1"/>
        <v>0.34228187919463093</v>
      </c>
      <c r="G57" s="209">
        <f>B57+Apr!G57</f>
        <v>3.8</v>
      </c>
      <c r="H57" s="209">
        <f>C57+Apr!H57</f>
        <v>2.7069999999999999</v>
      </c>
      <c r="I57" s="210">
        <f>D57+Apr!I57</f>
        <v>2.8140000000000001</v>
      </c>
      <c r="J57" s="30">
        <f t="shared" si="2"/>
        <v>0.40376800886590325</v>
      </c>
      <c r="K57" s="31">
        <f t="shared" si="3"/>
        <v>0.35039090262970851</v>
      </c>
    </row>
    <row r="58" spans="1:11">
      <c r="A58" s="7" t="s">
        <v>48</v>
      </c>
      <c r="B58" s="274">
        <v>0.4</v>
      </c>
      <c r="C58" s="211">
        <v>0.34799999999999998</v>
      </c>
      <c r="D58" s="211">
        <v>0.29899999999999999</v>
      </c>
      <c r="E58" s="73">
        <f t="shared" si="0"/>
        <v>0.14942528735632199</v>
      </c>
      <c r="F58" s="31">
        <f t="shared" si="1"/>
        <v>0.33779264214046845</v>
      </c>
      <c r="G58" s="209">
        <f>B58+Apr!G58</f>
        <v>1.5</v>
      </c>
      <c r="H58" s="209">
        <f>C58+Apr!H58</f>
        <v>1.42</v>
      </c>
      <c r="I58" s="210">
        <f>D58+Apr!I58</f>
        <v>1.3120000000000001</v>
      </c>
      <c r="J58" s="30">
        <f t="shared" si="2"/>
        <v>5.6338028169014231E-2</v>
      </c>
      <c r="K58" s="31">
        <f t="shared" si="3"/>
        <v>0.14329268292682928</v>
      </c>
    </row>
    <row r="59" spans="1:11">
      <c r="A59" s="7" t="s">
        <v>87</v>
      </c>
      <c r="B59" s="274">
        <v>0.6</v>
      </c>
      <c r="C59" s="211">
        <v>0.49199999999999999</v>
      </c>
      <c r="D59" s="211">
        <v>0.68200000000000005</v>
      </c>
      <c r="E59" s="73">
        <f t="shared" si="0"/>
        <v>0.21951219512195119</v>
      </c>
      <c r="F59" s="31">
        <f t="shared" si="1"/>
        <v>-0.12023460410557196</v>
      </c>
      <c r="G59" s="209">
        <f>B59+Apr!G59</f>
        <v>2.5</v>
      </c>
      <c r="H59" s="209">
        <f>C59+Apr!H59</f>
        <v>1.9880000000000002</v>
      </c>
      <c r="I59" s="210">
        <f>D59+Apr!I59</f>
        <v>3.18</v>
      </c>
      <c r="J59" s="30">
        <f t="shared" si="2"/>
        <v>0.25754527162977858</v>
      </c>
      <c r="K59" s="31">
        <f t="shared" si="3"/>
        <v>-0.21383647798742145</v>
      </c>
    </row>
    <row r="60" spans="1:11">
      <c r="A60" s="7" t="s">
        <v>49</v>
      </c>
      <c r="B60" s="274">
        <v>0.7</v>
      </c>
      <c r="C60" s="211">
        <v>0.104</v>
      </c>
      <c r="D60" s="211">
        <v>0.107</v>
      </c>
      <c r="E60" s="73">
        <f t="shared" si="0"/>
        <v>5.7307692307692308</v>
      </c>
      <c r="F60" s="31">
        <f t="shared" si="1"/>
        <v>5.5420560747663545</v>
      </c>
      <c r="G60" s="209">
        <f>B60+Apr!G60</f>
        <v>2.9000000000000004</v>
      </c>
      <c r="H60" s="209">
        <f>C60+Apr!H60</f>
        <v>0.34</v>
      </c>
      <c r="I60" s="210">
        <f>D60+Apr!I60</f>
        <v>0.54600000000000004</v>
      </c>
      <c r="J60" s="30">
        <f t="shared" si="2"/>
        <v>7.5294117647058822</v>
      </c>
      <c r="K60" s="31">
        <f t="shared" si="3"/>
        <v>4.311355311355312</v>
      </c>
    </row>
    <row r="61" spans="1:11">
      <c r="A61" s="2"/>
      <c r="B61" s="274"/>
      <c r="C61" s="211">
        <v>0</v>
      </c>
      <c r="D61" s="211">
        <v>0</v>
      </c>
      <c r="E61" s="73"/>
      <c r="F61" s="31"/>
      <c r="G61" s="209"/>
      <c r="H61" s="209"/>
      <c r="I61" s="210">
        <f>D61+Apr!I61</f>
        <v>0</v>
      </c>
      <c r="J61" s="30"/>
      <c r="K61" s="31"/>
    </row>
    <row r="62" spans="1:11">
      <c r="A62" s="7" t="s">
        <v>50</v>
      </c>
      <c r="B62" s="274">
        <v>0.8</v>
      </c>
      <c r="C62" s="211">
        <v>1.004</v>
      </c>
      <c r="D62" s="211">
        <v>0.84199999999999997</v>
      </c>
      <c r="E62" s="73">
        <f t="shared" si="0"/>
        <v>-0.20318725099601587</v>
      </c>
      <c r="F62" s="31">
        <f t="shared" si="1"/>
        <v>-4.9881235154394243E-2</v>
      </c>
      <c r="G62" s="209">
        <f>B62+Apr!G62</f>
        <v>5.3</v>
      </c>
      <c r="H62" s="209">
        <f>C62+Apr!H62</f>
        <v>5.3689999999999998</v>
      </c>
      <c r="I62" s="210">
        <f>D62+Apr!I62</f>
        <v>4.0979999999999999</v>
      </c>
      <c r="J62" s="30">
        <f t="shared" si="2"/>
        <v>-1.2851555224436595E-2</v>
      </c>
      <c r="K62" s="31">
        <f t="shared" si="3"/>
        <v>0.29331381161542214</v>
      </c>
    </row>
    <row r="63" spans="1:11">
      <c r="A63" s="7" t="s">
        <v>51</v>
      </c>
      <c r="B63" s="274">
        <v>0.2</v>
      </c>
      <c r="C63" s="211">
        <v>0.17100000000000001</v>
      </c>
      <c r="D63" s="211">
        <v>0.14499999999999999</v>
      </c>
      <c r="E63" s="73">
        <f t="shared" si="0"/>
        <v>0.16959064327485374</v>
      </c>
      <c r="F63" s="31">
        <f t="shared" si="1"/>
        <v>0.3793103448275863</v>
      </c>
      <c r="G63" s="209">
        <f>B63+Apr!G63</f>
        <v>1.5</v>
      </c>
      <c r="H63" s="209">
        <f>C63+Apr!H63</f>
        <v>1.2390000000000001</v>
      </c>
      <c r="I63" s="210">
        <f>D63+Apr!I63</f>
        <v>1.2110000000000001</v>
      </c>
      <c r="J63" s="30">
        <f t="shared" si="2"/>
        <v>0.21065375302663436</v>
      </c>
      <c r="K63" s="31">
        <f t="shared" si="3"/>
        <v>0.23864574731626753</v>
      </c>
    </row>
    <row r="64" spans="1:11">
      <c r="A64" s="7" t="s">
        <v>52</v>
      </c>
      <c r="B64" s="274">
        <v>0.9</v>
      </c>
      <c r="C64" s="211">
        <v>0.66400000000000003</v>
      </c>
      <c r="D64" s="211">
        <v>0.72699999999999998</v>
      </c>
      <c r="E64" s="73">
        <f t="shared" si="0"/>
        <v>0.35542168674698793</v>
      </c>
      <c r="F64" s="31">
        <f t="shared" si="1"/>
        <v>0.2379642365887209</v>
      </c>
      <c r="G64" s="209">
        <f>B64+Apr!G64</f>
        <v>7.7</v>
      </c>
      <c r="H64" s="209">
        <f>C64+Apr!H64</f>
        <v>6.2279999999999998</v>
      </c>
      <c r="I64" s="210">
        <f>D64+Apr!I64</f>
        <v>4.1420000000000003</v>
      </c>
      <c r="J64" s="30">
        <f t="shared" si="2"/>
        <v>0.23635195889531158</v>
      </c>
      <c r="K64" s="31">
        <f t="shared" si="3"/>
        <v>0.85900531144374681</v>
      </c>
    </row>
    <row r="65" spans="1:11">
      <c r="A65" s="7" t="s">
        <v>53</v>
      </c>
      <c r="B65" s="274">
        <v>1</v>
      </c>
      <c r="C65" s="211">
        <v>0.51300000000000001</v>
      </c>
      <c r="D65" s="211">
        <v>0.51600000000000001</v>
      </c>
      <c r="E65" s="73">
        <f t="shared" si="0"/>
        <v>0.94931773879142289</v>
      </c>
      <c r="F65" s="31">
        <f t="shared" si="1"/>
        <v>0.9379844961240309</v>
      </c>
      <c r="G65" s="209">
        <f>B65+Apr!G65</f>
        <v>5.3000000000000007</v>
      </c>
      <c r="H65" s="209">
        <f>C65+Apr!H65</f>
        <v>2.7050000000000001</v>
      </c>
      <c r="I65" s="210">
        <f>D65+Apr!I65</f>
        <v>2.2549999999999999</v>
      </c>
      <c r="J65" s="30">
        <f t="shared" si="2"/>
        <v>0.95933456561922381</v>
      </c>
      <c r="K65" s="31">
        <f t="shared" si="3"/>
        <v>1.3503325942350335</v>
      </c>
    </row>
    <row r="66" spans="1:11">
      <c r="A66" s="2"/>
      <c r="B66" s="274"/>
      <c r="C66" s="211">
        <v>0</v>
      </c>
      <c r="D66" s="211">
        <v>0</v>
      </c>
      <c r="E66" s="73"/>
      <c r="F66" s="31"/>
      <c r="G66" s="209"/>
      <c r="H66" s="209"/>
      <c r="I66" s="210">
        <f>D66+Apr!I66</f>
        <v>0</v>
      </c>
      <c r="J66" s="30"/>
      <c r="K66" s="31"/>
    </row>
    <row r="67" spans="1:11">
      <c r="A67" s="7" t="s">
        <v>54</v>
      </c>
      <c r="B67" s="274">
        <v>4.8</v>
      </c>
      <c r="C67" s="211">
        <v>3.7519999999999998</v>
      </c>
      <c r="D67" s="211">
        <v>4.3109999999999999</v>
      </c>
      <c r="E67" s="73">
        <f t="shared" si="0"/>
        <v>0.27931769722814503</v>
      </c>
      <c r="F67" s="31">
        <f t="shared" si="1"/>
        <v>0.1134307585247043</v>
      </c>
      <c r="G67" s="209">
        <f>B67+Apr!G67</f>
        <v>33.200000000000003</v>
      </c>
      <c r="H67" s="209">
        <f>C67+Apr!H67</f>
        <v>24.355999999999998</v>
      </c>
      <c r="I67" s="210">
        <f>D67+Apr!I67</f>
        <v>30.723999999999997</v>
      </c>
      <c r="J67" s="30">
        <f t="shared" si="2"/>
        <v>0.36311381179175584</v>
      </c>
      <c r="K67" s="31">
        <f t="shared" si="3"/>
        <v>8.0588465043614388E-2</v>
      </c>
    </row>
    <row r="68" spans="1:11">
      <c r="A68" s="7" t="s">
        <v>55</v>
      </c>
      <c r="B68" s="274">
        <v>1.8</v>
      </c>
      <c r="C68" s="211">
        <v>1.2569999999999999</v>
      </c>
      <c r="D68" s="211">
        <v>1.5780000000000001</v>
      </c>
      <c r="E68" s="73">
        <f t="shared" si="0"/>
        <v>0.43198090692124125</v>
      </c>
      <c r="F68" s="31">
        <f t="shared" si="1"/>
        <v>0.14068441064638781</v>
      </c>
      <c r="G68" s="209">
        <f>B68+Apr!G68</f>
        <v>8.6999999999999993</v>
      </c>
      <c r="H68" s="209">
        <f>C68+Apr!H68</f>
        <v>6.8379999999999992</v>
      </c>
      <c r="I68" s="210">
        <f>D68+Apr!I68</f>
        <v>6.9530000000000003</v>
      </c>
      <c r="J68" s="30">
        <f t="shared" si="2"/>
        <v>0.272301842644048</v>
      </c>
      <c r="K68" s="31">
        <f t="shared" si="3"/>
        <v>0.2512584495901049</v>
      </c>
    </row>
    <row r="69" spans="1:11">
      <c r="A69" s="7" t="s">
        <v>56</v>
      </c>
      <c r="B69" s="274">
        <v>0.4</v>
      </c>
      <c r="C69" s="211">
        <v>0.29299999999999998</v>
      </c>
      <c r="D69" s="211">
        <v>0.22600000000000001</v>
      </c>
      <c r="E69" s="73">
        <f t="shared" si="0"/>
        <v>0.36518771331058031</v>
      </c>
      <c r="F69" s="31">
        <f t="shared" si="1"/>
        <v>0.76991150442477885</v>
      </c>
      <c r="G69" s="209">
        <f>B69+Apr!G69</f>
        <v>2.1999999999999997</v>
      </c>
      <c r="H69" s="209">
        <f>C69+Apr!H69</f>
        <v>1.752</v>
      </c>
      <c r="I69" s="210">
        <f>D69+Apr!I69</f>
        <v>1.405</v>
      </c>
      <c r="J69" s="30">
        <f t="shared" si="2"/>
        <v>0.25570776255707739</v>
      </c>
      <c r="K69" s="31">
        <f t="shared" si="3"/>
        <v>0.56583629893238419</v>
      </c>
    </row>
    <row r="70" spans="1:11">
      <c r="A70" s="7" t="s">
        <v>88</v>
      </c>
      <c r="B70" s="274">
        <v>0.1</v>
      </c>
      <c r="C70" s="211">
        <v>9.0999999999999998E-2</v>
      </c>
      <c r="D70" s="211">
        <v>0.123</v>
      </c>
      <c r="E70" s="73">
        <f t="shared" ref="E70:E96" si="4">B70/C70-1</f>
        <v>9.8901098901098994E-2</v>
      </c>
      <c r="F70" s="31">
        <f t="shared" ref="F70:F96" si="5">B70/D70-1</f>
        <v>-0.18699186991869909</v>
      </c>
      <c r="G70" s="209">
        <f>B70+Apr!G70</f>
        <v>0.99999999999999989</v>
      </c>
      <c r="H70" s="209">
        <f>C70+Apr!H70</f>
        <v>0.85899999999999999</v>
      </c>
      <c r="I70" s="210">
        <f>D70+Apr!I70</f>
        <v>1.0449999999999999</v>
      </c>
      <c r="J70" s="30">
        <f t="shared" ref="J70:J96" si="6">G70/H70-1</f>
        <v>0.16414435389988347</v>
      </c>
      <c r="K70" s="31">
        <f t="shared" ref="K70:K96" si="7">G70/I70-1</f>
        <v>-4.3062200956937802E-2</v>
      </c>
    </row>
    <row r="71" spans="1:11">
      <c r="A71" s="7" t="s">
        <v>89</v>
      </c>
      <c r="B71" s="274">
        <v>0.5</v>
      </c>
      <c r="C71" s="211">
        <v>0.437</v>
      </c>
      <c r="D71" s="211">
        <v>0.45600000000000002</v>
      </c>
      <c r="E71" s="73">
        <f t="shared" si="4"/>
        <v>0.14416475972540055</v>
      </c>
      <c r="F71" s="31">
        <f t="shared" si="5"/>
        <v>9.6491228070175294E-2</v>
      </c>
      <c r="G71" s="209">
        <f>B71+Apr!G71</f>
        <v>2.7</v>
      </c>
      <c r="H71" s="209">
        <f>C71+Apr!H71</f>
        <v>1.954</v>
      </c>
      <c r="I71" s="210">
        <f>D71+Apr!I71</f>
        <v>2.363</v>
      </c>
      <c r="J71" s="30">
        <f t="shared" si="6"/>
        <v>0.38178096212896628</v>
      </c>
      <c r="K71" s="31">
        <f t="shared" si="7"/>
        <v>0.14261531950909867</v>
      </c>
    </row>
    <row r="72" spans="1:11">
      <c r="A72" s="7" t="s">
        <v>59</v>
      </c>
      <c r="B72" s="274">
        <v>8.5</v>
      </c>
      <c r="C72" s="211">
        <v>6.2069999999999999</v>
      </c>
      <c r="D72" s="211">
        <v>4.1769999999999996</v>
      </c>
      <c r="E72" s="73">
        <f t="shared" si="4"/>
        <v>0.36942162075076523</v>
      </c>
      <c r="F72" s="31">
        <f t="shared" si="5"/>
        <v>1.0349533157768733</v>
      </c>
      <c r="G72" s="209">
        <f>B72+Apr!G72</f>
        <v>32.799999999999997</v>
      </c>
      <c r="H72" s="209">
        <f>C72+Apr!H72</f>
        <v>21.190999999999999</v>
      </c>
      <c r="I72" s="210">
        <f>D72+Apr!I72</f>
        <v>18.684999999999999</v>
      </c>
      <c r="J72" s="30">
        <f t="shared" si="6"/>
        <v>0.54782690764947373</v>
      </c>
      <c r="K72" s="31">
        <f t="shared" si="7"/>
        <v>0.75541878512175531</v>
      </c>
    </row>
    <row r="73" spans="1:11">
      <c r="A73" s="7" t="s">
        <v>60</v>
      </c>
      <c r="B73" s="274">
        <v>1.3</v>
      </c>
      <c r="C73" s="211">
        <v>0.93</v>
      </c>
      <c r="D73" s="211">
        <v>1.224</v>
      </c>
      <c r="E73" s="73">
        <f t="shared" si="4"/>
        <v>0.39784946236559127</v>
      </c>
      <c r="F73" s="31">
        <f t="shared" si="5"/>
        <v>6.2091503267973858E-2</v>
      </c>
      <c r="G73" s="209">
        <f>B73+Apr!G73</f>
        <v>4.3</v>
      </c>
      <c r="H73" s="209">
        <f>C73+Apr!H73</f>
        <v>3.2230000000000003</v>
      </c>
      <c r="I73" s="210">
        <f>D73+Apr!I73</f>
        <v>4.0670000000000002</v>
      </c>
      <c r="J73" s="30">
        <f t="shared" si="6"/>
        <v>0.33416071982624862</v>
      </c>
      <c r="K73" s="31">
        <f t="shared" si="7"/>
        <v>5.7290386033931551E-2</v>
      </c>
    </row>
    <row r="74" spans="1:11">
      <c r="A74" s="7" t="s">
        <v>61</v>
      </c>
      <c r="B74" s="274">
        <v>2.1</v>
      </c>
      <c r="C74" s="211">
        <v>1.3240000000000001</v>
      </c>
      <c r="D74" s="211">
        <v>1.2989999999999999</v>
      </c>
      <c r="E74" s="73">
        <f t="shared" si="4"/>
        <v>0.58610271903323263</v>
      </c>
      <c r="F74" s="31">
        <f t="shared" si="5"/>
        <v>0.61662817551963056</v>
      </c>
      <c r="G74" s="209">
        <f>B74+Apr!G74</f>
        <v>8.9</v>
      </c>
      <c r="H74" s="209">
        <f>C74+Apr!H74</f>
        <v>5.5380000000000003</v>
      </c>
      <c r="I74" s="210">
        <f>D74+Apr!I74</f>
        <v>5.5939999999999994</v>
      </c>
      <c r="J74" s="30">
        <f t="shared" si="6"/>
        <v>0.60707836764174794</v>
      </c>
      <c r="K74" s="31">
        <f t="shared" si="7"/>
        <v>0.59099034680014317</v>
      </c>
    </row>
    <row r="75" spans="1:11">
      <c r="A75" s="7" t="s">
        <v>62</v>
      </c>
      <c r="B75" s="274">
        <v>1.3</v>
      </c>
      <c r="C75" s="211">
        <v>0.73899999999999999</v>
      </c>
      <c r="D75" s="211">
        <v>1.0089999999999999</v>
      </c>
      <c r="E75" s="73">
        <f t="shared" si="4"/>
        <v>0.75913396481732076</v>
      </c>
      <c r="F75" s="31">
        <f t="shared" si="5"/>
        <v>0.28840436075322118</v>
      </c>
      <c r="G75" s="209">
        <f>B75+Apr!G75</f>
        <v>6.7</v>
      </c>
      <c r="H75" s="209">
        <f>C75+Apr!H75</f>
        <v>3.5599999999999996</v>
      </c>
      <c r="I75" s="210">
        <f>D75+Apr!I75</f>
        <v>4.3610000000000007</v>
      </c>
      <c r="J75" s="30">
        <f t="shared" si="6"/>
        <v>0.88202247191011263</v>
      </c>
      <c r="K75" s="31">
        <f t="shared" si="7"/>
        <v>0.53634487502866302</v>
      </c>
    </row>
    <row r="76" spans="1:11">
      <c r="A76" s="7" t="s">
        <v>63</v>
      </c>
      <c r="B76" s="274">
        <v>2.9</v>
      </c>
      <c r="C76" s="211">
        <v>1.59</v>
      </c>
      <c r="D76" s="211">
        <v>1.4139999999999999</v>
      </c>
      <c r="E76" s="73">
        <f t="shared" si="4"/>
        <v>0.82389937106918221</v>
      </c>
      <c r="F76" s="31">
        <f t="shared" si="5"/>
        <v>1.0509193776520509</v>
      </c>
      <c r="G76" s="209">
        <f>B76+Apr!G76</f>
        <v>11</v>
      </c>
      <c r="H76" s="209">
        <f>C76+Apr!H76</f>
        <v>6.85</v>
      </c>
      <c r="I76" s="210">
        <f>D76+Apr!I76</f>
        <v>6.5789999999999997</v>
      </c>
      <c r="J76" s="30">
        <f t="shared" si="6"/>
        <v>0.6058394160583942</v>
      </c>
      <c r="K76" s="31">
        <f t="shared" si="7"/>
        <v>0.67198662410700716</v>
      </c>
    </row>
    <row r="77" spans="1:11">
      <c r="A77" s="7" t="s">
        <v>64</v>
      </c>
      <c r="B77" s="274">
        <v>0.5</v>
      </c>
      <c r="C77" s="211">
        <v>0.46</v>
      </c>
      <c r="D77" s="211">
        <v>0.36099999999999999</v>
      </c>
      <c r="E77" s="73">
        <f t="shared" si="4"/>
        <v>8.6956521739130377E-2</v>
      </c>
      <c r="F77" s="31">
        <f t="shared" si="5"/>
        <v>0.38504155124653749</v>
      </c>
      <c r="G77" s="209">
        <f>B77+Apr!G77</f>
        <v>2.4</v>
      </c>
      <c r="H77" s="209">
        <f>C77+Apr!H77</f>
        <v>1.772</v>
      </c>
      <c r="I77" s="210">
        <f>D77+Apr!I77</f>
        <v>1.704</v>
      </c>
      <c r="J77" s="30">
        <f t="shared" si="6"/>
        <v>0.35440180586907433</v>
      </c>
      <c r="K77" s="31">
        <f t="shared" si="7"/>
        <v>0.40845070422535201</v>
      </c>
    </row>
    <row r="78" spans="1:11">
      <c r="A78" s="7"/>
      <c r="B78" s="274"/>
      <c r="C78" s="211">
        <v>0</v>
      </c>
      <c r="D78" s="211">
        <v>0</v>
      </c>
      <c r="E78" s="73"/>
      <c r="F78" s="31"/>
      <c r="G78" s="209"/>
      <c r="H78" s="209"/>
      <c r="I78" s="210">
        <f>D78+Apr!I78</f>
        <v>0</v>
      </c>
      <c r="J78" s="30"/>
      <c r="K78" s="31"/>
    </row>
    <row r="79" spans="1:11">
      <c r="A79" s="7" t="s">
        <v>65</v>
      </c>
      <c r="B79" s="274">
        <f>SUM(B80:B83)</f>
        <v>106.2</v>
      </c>
      <c r="C79" s="211">
        <v>96.929000000000002</v>
      </c>
      <c r="D79" s="211">
        <v>81.53</v>
      </c>
      <c r="E79" s="73">
        <f t="shared" si="4"/>
        <v>9.5647329488594668E-2</v>
      </c>
      <c r="F79" s="31">
        <f t="shared" si="5"/>
        <v>0.30258800441555267</v>
      </c>
      <c r="G79" s="209">
        <f>B79+Apr!G79</f>
        <v>395.7</v>
      </c>
      <c r="H79" s="209">
        <f>C79+Apr!H79</f>
        <v>335.01199999999994</v>
      </c>
      <c r="I79" s="210">
        <f>D79+Apr!I79</f>
        <v>326.32299999999998</v>
      </c>
      <c r="J79" s="30">
        <f t="shared" si="6"/>
        <v>0.18115171993839052</v>
      </c>
      <c r="K79" s="31">
        <f t="shared" si="7"/>
        <v>0.21260223766023234</v>
      </c>
    </row>
    <row r="80" spans="1:11">
      <c r="A80" s="7" t="s">
        <v>66</v>
      </c>
      <c r="B80" s="274">
        <v>80.099999999999994</v>
      </c>
      <c r="C80" s="211">
        <v>76.611999999999995</v>
      </c>
      <c r="D80" s="211">
        <v>62.156999999999996</v>
      </c>
      <c r="E80" s="73">
        <f t="shared" si="4"/>
        <v>4.5528115699890348E-2</v>
      </c>
      <c r="F80" s="31">
        <f t="shared" si="5"/>
        <v>0.28867223321588886</v>
      </c>
      <c r="G80" s="209">
        <f>B80+Apr!G80</f>
        <v>310.10000000000002</v>
      </c>
      <c r="H80" s="209">
        <f>C80+Apr!H80</f>
        <v>264.82400000000001</v>
      </c>
      <c r="I80" s="210">
        <f>D80+Apr!I80</f>
        <v>249.38099999999997</v>
      </c>
      <c r="J80" s="30">
        <f t="shared" si="6"/>
        <v>0.17096637766969769</v>
      </c>
      <c r="K80" s="31">
        <f t="shared" si="7"/>
        <v>0.24347885364161681</v>
      </c>
    </row>
    <row r="81" spans="1:11">
      <c r="A81" s="7" t="s">
        <v>67</v>
      </c>
      <c r="B81" s="274">
        <v>9.9</v>
      </c>
      <c r="C81" s="211">
        <v>8.3179999999999996</v>
      </c>
      <c r="D81" s="211">
        <v>7.2229999999999999</v>
      </c>
      <c r="E81" s="73">
        <f t="shared" si="4"/>
        <v>0.19018994950709311</v>
      </c>
      <c r="F81" s="31">
        <f t="shared" si="5"/>
        <v>0.37062162536342247</v>
      </c>
      <c r="G81" s="209">
        <f>B81+Apr!G81</f>
        <v>31.799999999999997</v>
      </c>
      <c r="H81" s="209">
        <f>C81+Apr!H81</f>
        <v>26.410000000000004</v>
      </c>
      <c r="I81" s="210">
        <f>D81+Apr!I81</f>
        <v>25.965</v>
      </c>
      <c r="J81" s="30">
        <f t="shared" si="6"/>
        <v>0.20408936009087442</v>
      </c>
      <c r="K81" s="31">
        <f t="shared" si="7"/>
        <v>0.22472559214326959</v>
      </c>
    </row>
    <row r="82" spans="1:11">
      <c r="A82" s="7" t="s">
        <v>68</v>
      </c>
      <c r="B82" s="274">
        <v>2.2999999999999998</v>
      </c>
      <c r="C82" s="211">
        <v>1.923</v>
      </c>
      <c r="D82" s="211">
        <v>1.6579999999999999</v>
      </c>
      <c r="E82" s="73">
        <f t="shared" si="4"/>
        <v>0.19604784191367641</v>
      </c>
      <c r="F82" s="31">
        <f t="shared" si="5"/>
        <v>0.38721351025331718</v>
      </c>
      <c r="G82" s="209">
        <f>B82+Apr!G82</f>
        <v>8.6999999999999993</v>
      </c>
      <c r="H82" s="209">
        <f>C82+Apr!H82</f>
        <v>6.9189999999999996</v>
      </c>
      <c r="I82" s="210">
        <f>D82+Apr!I82</f>
        <v>7.738999999999999</v>
      </c>
      <c r="J82" s="30">
        <f t="shared" si="6"/>
        <v>0.25740713976008101</v>
      </c>
      <c r="K82" s="31">
        <f t="shared" si="7"/>
        <v>0.12417625016151956</v>
      </c>
    </row>
    <row r="83" spans="1:11">
      <c r="A83" s="7" t="s">
        <v>69</v>
      </c>
      <c r="B83" s="274">
        <f>1.5+1.2+SUM(B84:B89)</f>
        <v>13.900000000000002</v>
      </c>
      <c r="C83" s="211">
        <v>10.076000000000001</v>
      </c>
      <c r="D83" s="211">
        <v>10.492000000000001</v>
      </c>
      <c r="E83" s="73">
        <f t="shared" si="4"/>
        <v>0.37951568082572473</v>
      </c>
      <c r="F83" s="31">
        <f t="shared" si="5"/>
        <v>0.32481890964544413</v>
      </c>
      <c r="G83" s="209">
        <f>B83+Apr!G83</f>
        <v>52.400000000000006</v>
      </c>
      <c r="H83" s="209">
        <f>C83+Apr!H83</f>
        <v>36.859000000000002</v>
      </c>
      <c r="I83" s="210">
        <f>D83+Apr!I83</f>
        <v>43.238</v>
      </c>
      <c r="J83" s="30">
        <f t="shared" si="6"/>
        <v>0.42163379364605658</v>
      </c>
      <c r="K83" s="31">
        <f t="shared" si="7"/>
        <v>0.21189694250427871</v>
      </c>
    </row>
    <row r="84" spans="1:11">
      <c r="A84" s="7" t="s">
        <v>70</v>
      </c>
      <c r="B84" s="274">
        <v>0.3</v>
      </c>
      <c r="C84" s="211">
        <v>0.22500000000000001</v>
      </c>
      <c r="D84" s="211">
        <v>0.30399999999999999</v>
      </c>
      <c r="E84" s="73">
        <f t="shared" si="4"/>
        <v>0.33333333333333326</v>
      </c>
      <c r="F84" s="31">
        <f t="shared" si="5"/>
        <v>-1.3157894736842146E-2</v>
      </c>
      <c r="G84" s="209">
        <f>B84+Apr!G84</f>
        <v>1.3</v>
      </c>
      <c r="H84" s="209">
        <f>C84+Apr!H84</f>
        <v>1.1360000000000001</v>
      </c>
      <c r="I84" s="210">
        <f>D84+Apr!I84</f>
        <v>1.1909999999999998</v>
      </c>
      <c r="J84" s="30">
        <f t="shared" si="6"/>
        <v>0.14436619718309851</v>
      </c>
      <c r="K84" s="31">
        <f t="shared" si="7"/>
        <v>9.151973131822011E-2</v>
      </c>
    </row>
    <row r="85" spans="1:11">
      <c r="A85" s="7" t="s">
        <v>71</v>
      </c>
      <c r="B85" s="274">
        <v>3</v>
      </c>
      <c r="C85" s="211">
        <v>3.093</v>
      </c>
      <c r="D85" s="211">
        <v>2.1989999999999998</v>
      </c>
      <c r="E85" s="73">
        <f t="shared" si="4"/>
        <v>-3.0067895247332665E-2</v>
      </c>
      <c r="F85" s="31">
        <f t="shared" si="5"/>
        <v>0.36425648021828105</v>
      </c>
      <c r="G85" s="209">
        <f>B85+Apr!G85</f>
        <v>15.2</v>
      </c>
      <c r="H85" s="209">
        <f>C85+Apr!H85</f>
        <v>12.198</v>
      </c>
      <c r="I85" s="210">
        <f>D85+Apr!I85</f>
        <v>11.121</v>
      </c>
      <c r="J85" s="30">
        <f t="shared" si="6"/>
        <v>0.24610591900311518</v>
      </c>
      <c r="K85" s="31">
        <f t="shared" si="7"/>
        <v>0.36678356262925993</v>
      </c>
    </row>
    <row r="86" spans="1:11">
      <c r="A86" s="7" t="s">
        <v>72</v>
      </c>
      <c r="B86" s="274">
        <v>5.7</v>
      </c>
      <c r="C86" s="211">
        <v>3.3450000000000002</v>
      </c>
      <c r="D86" s="211">
        <v>4.4889999999999999</v>
      </c>
      <c r="E86" s="73">
        <f t="shared" si="4"/>
        <v>0.70403587443946192</v>
      </c>
      <c r="F86" s="31">
        <f t="shared" si="5"/>
        <v>0.26977055023390517</v>
      </c>
      <c r="G86" s="209">
        <f>B86+Apr!G86</f>
        <v>19.399999999999999</v>
      </c>
      <c r="H86" s="209">
        <f>C86+Apr!H86</f>
        <v>11.413</v>
      </c>
      <c r="I86" s="210">
        <f>D86+Apr!I86</f>
        <v>18.327000000000002</v>
      </c>
      <c r="J86" s="30">
        <f t="shared" si="6"/>
        <v>0.6998159992990447</v>
      </c>
      <c r="K86" s="31">
        <f t="shared" si="7"/>
        <v>5.8547498226659833E-2</v>
      </c>
    </row>
    <row r="87" spans="1:11">
      <c r="A87" s="7" t="s">
        <v>73</v>
      </c>
      <c r="B87" s="274">
        <v>0.8</v>
      </c>
      <c r="C87" s="211">
        <v>0.68300000000000005</v>
      </c>
      <c r="D87" s="211">
        <v>0.54100000000000004</v>
      </c>
      <c r="E87" s="73">
        <f t="shared" si="4"/>
        <v>0.17130307467057104</v>
      </c>
      <c r="F87" s="31">
        <f t="shared" si="5"/>
        <v>0.47874306839186698</v>
      </c>
      <c r="G87" s="209">
        <f>B87+Apr!G87</f>
        <v>3.3</v>
      </c>
      <c r="H87" s="209">
        <f>C87+Apr!H87</f>
        <v>2.4779999999999998</v>
      </c>
      <c r="I87" s="210">
        <f>D87+Apr!I87</f>
        <v>2.5880000000000001</v>
      </c>
      <c r="J87" s="30">
        <f t="shared" si="6"/>
        <v>0.33171912832929795</v>
      </c>
      <c r="K87" s="31">
        <f t="shared" si="7"/>
        <v>0.27511591962905713</v>
      </c>
    </row>
    <row r="88" spans="1:11">
      <c r="A88" s="7" t="s">
        <v>74</v>
      </c>
      <c r="B88" s="274">
        <v>1.3</v>
      </c>
      <c r="C88" s="211">
        <v>0.749</v>
      </c>
      <c r="D88" s="211">
        <v>0.73199999999999998</v>
      </c>
      <c r="E88" s="73">
        <f t="shared" si="4"/>
        <v>0.73564753004005357</v>
      </c>
      <c r="F88" s="31">
        <f t="shared" si="5"/>
        <v>0.77595628415300566</v>
      </c>
      <c r="G88" s="209">
        <f>B88+Apr!G88</f>
        <v>3.7</v>
      </c>
      <c r="H88" s="209">
        <f>C88+Apr!H88</f>
        <v>2.5490000000000004</v>
      </c>
      <c r="I88" s="210">
        <f>D88+Apr!I88</f>
        <v>2.92</v>
      </c>
      <c r="J88" s="30">
        <f t="shared" si="6"/>
        <v>0.45154962730482517</v>
      </c>
      <c r="K88" s="31">
        <f t="shared" si="7"/>
        <v>0.26712328767123306</v>
      </c>
    </row>
    <row r="89" spans="1:11">
      <c r="A89" s="7" t="s">
        <v>75</v>
      </c>
      <c r="B89" s="274">
        <v>0.1</v>
      </c>
      <c r="C89" s="211">
        <v>0.10199999999999999</v>
      </c>
      <c r="D89" s="211">
        <v>0.16300000000000001</v>
      </c>
      <c r="E89" s="73">
        <f t="shared" si="4"/>
        <v>-1.9607843137254832E-2</v>
      </c>
      <c r="F89" s="31">
        <f t="shared" si="5"/>
        <v>-0.38650306748466257</v>
      </c>
      <c r="G89" s="209">
        <f>B89+Apr!G89</f>
        <v>1.4000000000000004</v>
      </c>
      <c r="H89" s="209">
        <f>C89+Apr!H89</f>
        <v>0.40399999999999997</v>
      </c>
      <c r="I89" s="210">
        <f>D89+Apr!I89</f>
        <v>0.44800000000000006</v>
      </c>
      <c r="J89" s="30">
        <f t="shared" si="6"/>
        <v>2.4653465346534666</v>
      </c>
      <c r="K89" s="31">
        <f t="shared" si="7"/>
        <v>2.1250000000000004</v>
      </c>
    </row>
    <row r="90" spans="1:11">
      <c r="A90" s="7"/>
      <c r="B90" s="274"/>
      <c r="C90" s="211">
        <v>0</v>
      </c>
      <c r="D90" s="211">
        <v>0</v>
      </c>
      <c r="E90" s="73"/>
      <c r="F90" s="31"/>
      <c r="G90" s="209"/>
      <c r="H90" s="209"/>
      <c r="I90" s="210">
        <f>D90+Apr!I90</f>
        <v>0</v>
      </c>
      <c r="J90" s="30"/>
      <c r="K90" s="31"/>
    </row>
    <row r="91" spans="1:11">
      <c r="A91" s="7" t="s">
        <v>76</v>
      </c>
      <c r="B91" s="274">
        <f>SUM(B92:B94)</f>
        <v>4.3</v>
      </c>
      <c r="C91" s="211">
        <v>3.383</v>
      </c>
      <c r="D91" s="211">
        <v>3.367</v>
      </c>
      <c r="E91" s="73">
        <f t="shared" si="4"/>
        <v>0.27106118829441317</v>
      </c>
      <c r="F91" s="31">
        <f t="shared" si="5"/>
        <v>0.27710127710127708</v>
      </c>
      <c r="G91" s="209">
        <f>B91+Apr!G91</f>
        <v>15.5</v>
      </c>
      <c r="H91" s="209">
        <f>C91+Apr!H91</f>
        <v>11.902000000000001</v>
      </c>
      <c r="I91" s="210">
        <f>D91+Apr!I91</f>
        <v>12.285</v>
      </c>
      <c r="J91" s="30">
        <f t="shared" si="6"/>
        <v>0.30230213409510998</v>
      </c>
      <c r="K91" s="31">
        <f t="shared" si="7"/>
        <v>0.26170126170126173</v>
      </c>
    </row>
    <row r="92" spans="1:11">
      <c r="A92" s="7" t="s">
        <v>77</v>
      </c>
      <c r="B92" s="274">
        <v>3.7</v>
      </c>
      <c r="C92" s="211">
        <v>2.9460000000000002</v>
      </c>
      <c r="D92" s="211">
        <v>2.83</v>
      </c>
      <c r="E92" s="73">
        <f t="shared" si="4"/>
        <v>0.25594025797691788</v>
      </c>
      <c r="F92" s="31">
        <f t="shared" si="5"/>
        <v>0.30742049469964661</v>
      </c>
      <c r="G92" s="209">
        <f>B92+Apr!G92</f>
        <v>13.599999999999998</v>
      </c>
      <c r="H92" s="209">
        <f>C92+Apr!H92</f>
        <v>10.356999999999999</v>
      </c>
      <c r="I92" s="210">
        <f>D92+Apr!I92</f>
        <v>10.545999999999999</v>
      </c>
      <c r="J92" s="30">
        <f t="shared" si="6"/>
        <v>0.31312156029738336</v>
      </c>
      <c r="K92" s="31">
        <f t="shared" si="7"/>
        <v>0.28958846956191908</v>
      </c>
    </row>
    <row r="93" spans="1:11">
      <c r="A93" s="7" t="s">
        <v>78</v>
      </c>
      <c r="B93" s="274">
        <v>0.5</v>
      </c>
      <c r="C93" s="211">
        <v>0.38800000000000001</v>
      </c>
      <c r="D93" s="211">
        <v>0.41299999999999998</v>
      </c>
      <c r="E93" s="73">
        <f t="shared" si="4"/>
        <v>0.28865979381443285</v>
      </c>
      <c r="F93" s="31">
        <f t="shared" si="5"/>
        <v>0.21065375302663436</v>
      </c>
      <c r="G93" s="209">
        <f>B93+Apr!G93</f>
        <v>1.5</v>
      </c>
      <c r="H93" s="209">
        <f>C93+Apr!H93</f>
        <v>1.298</v>
      </c>
      <c r="I93" s="210">
        <f>D93+Apr!I93</f>
        <v>1.3859999999999999</v>
      </c>
      <c r="J93" s="30">
        <f t="shared" si="6"/>
        <v>0.15562403697996907</v>
      </c>
      <c r="K93" s="31">
        <f t="shared" si="7"/>
        <v>8.2251082251082241E-2</v>
      </c>
    </row>
    <row r="94" spans="1:11">
      <c r="A94" s="7" t="s">
        <v>19</v>
      </c>
      <c r="B94" s="274">
        <v>0.1</v>
      </c>
      <c r="C94" s="211">
        <v>4.9000000000000002E-2</v>
      </c>
      <c r="D94" s="211">
        <v>0.124</v>
      </c>
      <c r="E94" s="73">
        <f t="shared" si="4"/>
        <v>1.0408163265306123</v>
      </c>
      <c r="F94" s="31">
        <f t="shared" si="5"/>
        <v>-0.19354838709677413</v>
      </c>
      <c r="G94" s="209">
        <f>B94+Apr!G94</f>
        <v>0.4</v>
      </c>
      <c r="H94" s="209">
        <f>C94+Apr!H94</f>
        <v>0.247</v>
      </c>
      <c r="I94" s="210">
        <f>D94+Apr!I94</f>
        <v>0.35299999999999998</v>
      </c>
      <c r="J94" s="30">
        <f t="shared" si="6"/>
        <v>0.61943319838056699</v>
      </c>
      <c r="K94" s="31">
        <f t="shared" si="7"/>
        <v>0.13314447592067991</v>
      </c>
    </row>
    <row r="95" spans="1:11">
      <c r="A95" s="7"/>
      <c r="B95" s="274"/>
      <c r="C95" s="211">
        <v>0</v>
      </c>
      <c r="D95" s="211">
        <v>0</v>
      </c>
      <c r="E95" s="73"/>
      <c r="F95" s="31"/>
      <c r="G95" s="209"/>
      <c r="H95" s="209"/>
      <c r="I95" s="210">
        <f>D95+Apr!I95</f>
        <v>0</v>
      </c>
      <c r="J95" s="30"/>
      <c r="K95" s="31"/>
    </row>
    <row r="96" spans="1:11" ht="13.5" thickBot="1">
      <c r="A96" s="9" t="s">
        <v>79</v>
      </c>
      <c r="B96" s="275">
        <v>0.8</v>
      </c>
      <c r="C96" s="212">
        <v>0.98899999999999999</v>
      </c>
      <c r="D96" s="212">
        <v>0.78800000000000003</v>
      </c>
      <c r="E96" s="74">
        <f t="shared" si="4"/>
        <v>-0.19110212335692611</v>
      </c>
      <c r="F96" s="33">
        <f t="shared" si="5"/>
        <v>1.5228426395939021E-2</v>
      </c>
      <c r="G96" s="209">
        <f>B96+Apr!G96</f>
        <v>3.4000000000000004</v>
      </c>
      <c r="H96" s="209">
        <f>C96+Apr!H96</f>
        <v>4.0990000000000002</v>
      </c>
      <c r="I96" s="210">
        <f>D96+Apr!I96</f>
        <v>4.4380000000000006</v>
      </c>
      <c r="J96" s="32">
        <f t="shared" si="6"/>
        <v>-0.17052939741400341</v>
      </c>
      <c r="K96" s="33">
        <f t="shared" si="7"/>
        <v>-0.23388913925191535</v>
      </c>
    </row>
  </sheetData>
  <mergeCells count="4">
    <mergeCell ref="B3:D3"/>
    <mergeCell ref="E3:F3"/>
    <mergeCell ref="G3:I3"/>
    <mergeCell ref="J3:K3"/>
  </mergeCells>
  <conditionalFormatting sqref="E5:F96">
    <cfRule type="cellIs" dxfId="63" priority="5" operator="lessThan">
      <formula>0</formula>
    </cfRule>
    <cfRule type="cellIs" dxfId="62" priority="6" operator="greaterThan">
      <formula>0</formula>
    </cfRule>
    <cfRule type="cellIs" dxfId="61" priority="7" operator="greaterThan">
      <formula>0</formula>
    </cfRule>
    <cfRule type="cellIs" dxfId="60" priority="8" operator="lessThan">
      <formula>0</formula>
    </cfRule>
  </conditionalFormatting>
  <conditionalFormatting sqref="J5:K96">
    <cfRule type="cellIs" dxfId="59" priority="1" operator="lessThan">
      <formula>0</formula>
    </cfRule>
    <cfRule type="cellIs" dxfId="58" priority="2" operator="greaterThan">
      <formula>0</formula>
    </cfRule>
    <cfRule type="cellIs" dxfId="57" priority="3" operator="greaterThan">
      <formula>0</formula>
    </cfRule>
    <cfRule type="cellIs" dxfId="56" priority="4" operator="lessThan">
      <formula>0</formula>
    </cfRule>
  </conditionalFormatting>
  <pageMargins left="0.7" right="0.7" top="0.75" bottom="0.75" header="0.3" footer="0.3"/>
  <pageSetup paperSize="9" scale="87" orientation="portrait" r:id="rId1"/>
  <rowBreaks count="1" manualBreakCount="1">
    <brk id="5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96"/>
  <sheetViews>
    <sheetView topLeftCell="A4" zoomScale="85" zoomScaleNormal="85" workbookViewId="0">
      <selection activeCell="J80" sqref="J80"/>
    </sheetView>
  </sheetViews>
  <sheetFormatPr defaultColWidth="9" defaultRowHeight="12.75"/>
  <cols>
    <col min="1" max="1" width="26.28515625" style="34" customWidth="1"/>
    <col min="2" max="2" width="6.5703125" style="287" bestFit="1" customWidth="1"/>
    <col min="3" max="4" width="7.28515625" style="34" bestFit="1" customWidth="1"/>
    <col min="5" max="6" width="6.5703125" style="34" bestFit="1" customWidth="1"/>
    <col min="7" max="8" width="8" style="62" bestFit="1" customWidth="1"/>
    <col min="9" max="9" width="8.85546875" style="62" bestFit="1" customWidth="1"/>
    <col min="10" max="11" width="6.5703125" style="34" bestFit="1" customWidth="1"/>
    <col min="12" max="16384" width="9" style="34"/>
  </cols>
  <sheetData>
    <row r="1" spans="1:11">
      <c r="A1" s="8" t="s">
        <v>129</v>
      </c>
      <c r="B1" s="286"/>
      <c r="C1" s="62"/>
      <c r="D1" s="62"/>
      <c r="E1" s="62"/>
      <c r="F1" s="62"/>
      <c r="J1" s="1"/>
    </row>
    <row r="2" spans="1:11" ht="13.5" thickBot="1">
      <c r="A2" s="1" t="s">
        <v>237</v>
      </c>
      <c r="C2" s="35"/>
      <c r="D2" s="35"/>
      <c r="G2" s="63"/>
      <c r="H2" s="63"/>
      <c r="I2" s="63"/>
    </row>
    <row r="3" spans="1:11" ht="13.5" thickBot="1">
      <c r="A3" s="10"/>
      <c r="B3" s="344" t="s">
        <v>96</v>
      </c>
      <c r="C3" s="345"/>
      <c r="D3" s="346"/>
      <c r="E3" s="341" t="s">
        <v>0</v>
      </c>
      <c r="F3" s="343"/>
      <c r="G3" s="326" t="s">
        <v>97</v>
      </c>
      <c r="H3" s="331"/>
      <c r="I3" s="327"/>
      <c r="J3" s="341" t="s">
        <v>0</v>
      </c>
      <c r="K3" s="343"/>
    </row>
    <row r="4" spans="1:11" ht="13.5" thickBot="1">
      <c r="A4" s="5"/>
      <c r="B4" s="291">
        <v>2017</v>
      </c>
      <c r="C4" s="83">
        <v>2016</v>
      </c>
      <c r="D4" s="141">
        <v>2015</v>
      </c>
      <c r="E4" s="21" t="s">
        <v>214</v>
      </c>
      <c r="F4" s="21" t="s">
        <v>215</v>
      </c>
      <c r="G4" s="87">
        <v>2017</v>
      </c>
      <c r="H4" s="140">
        <v>2016</v>
      </c>
      <c r="I4" s="68">
        <v>2015</v>
      </c>
      <c r="J4" s="21" t="s">
        <v>214</v>
      </c>
      <c r="K4" s="21" t="s">
        <v>215</v>
      </c>
    </row>
    <row r="5" spans="1:11">
      <c r="A5" s="7" t="s">
        <v>1</v>
      </c>
      <c r="B5" s="288">
        <f>B6+B27+B35+B79+B91+B96</f>
        <v>303.40000000000003</v>
      </c>
      <c r="C5" s="222">
        <v>236.30199999999999</v>
      </c>
      <c r="D5" s="222">
        <v>237.47399999999999</v>
      </c>
      <c r="E5" s="76">
        <f>B5/C5-1</f>
        <v>0.28395019932120769</v>
      </c>
      <c r="F5" s="18">
        <f>B5/D5-1</f>
        <v>0.27761354927276272</v>
      </c>
      <c r="G5" s="209">
        <f>B5+May!G5</f>
        <v>1736.2000000000003</v>
      </c>
      <c r="H5" s="209">
        <f>C5+May!H5</f>
        <v>1383.192</v>
      </c>
      <c r="I5" s="210">
        <v>1532.9690000000001</v>
      </c>
      <c r="J5" s="17">
        <f>G5/H5-1</f>
        <v>0.25521258075523878</v>
      </c>
      <c r="K5" s="18">
        <f>G5/I5-1</f>
        <v>0.13257345712796553</v>
      </c>
    </row>
    <row r="6" spans="1:11">
      <c r="A6" s="7" t="s">
        <v>2</v>
      </c>
      <c r="B6" s="289">
        <f>B8+B21+B58+B60+B59+B62</f>
        <v>31.900000000000002</v>
      </c>
      <c r="C6" s="211">
        <v>22.692</v>
      </c>
      <c r="D6" s="211">
        <v>18.260000000000002</v>
      </c>
      <c r="E6" s="73">
        <f t="shared" ref="E6:E69" si="0">B6/C6-1</f>
        <v>0.40578177331218068</v>
      </c>
      <c r="F6" s="36">
        <f t="shared" ref="F6:F69" si="1">B6/D6-1</f>
        <v>0.74698795180722888</v>
      </c>
      <c r="G6" s="209">
        <f>B6+May!G6</f>
        <v>219</v>
      </c>
      <c r="H6" s="209">
        <f>C6+May!H6</f>
        <v>142.81200000000001</v>
      </c>
      <c r="I6" s="211">
        <v>128.94300000000001</v>
      </c>
      <c r="J6" s="64">
        <f t="shared" ref="J6:J69" si="2">G6/H6-1</f>
        <v>0.5334845811276363</v>
      </c>
      <c r="K6" s="65">
        <f t="shared" ref="K6:K69" si="3">G6/I6-1</f>
        <v>0.69842488541448522</v>
      </c>
    </row>
    <row r="7" spans="1:11">
      <c r="A7" s="7"/>
      <c r="B7" s="289"/>
      <c r="C7" s="211"/>
      <c r="D7" s="211"/>
      <c r="E7" s="73"/>
      <c r="F7" s="36"/>
      <c r="G7" s="209"/>
      <c r="H7" s="209"/>
      <c r="I7" s="211">
        <v>0</v>
      </c>
      <c r="J7" s="64"/>
      <c r="K7" s="65"/>
    </row>
    <row r="8" spans="1:11">
      <c r="A8" s="7" t="s">
        <v>3</v>
      </c>
      <c r="B8" s="289">
        <f>SUM(B9:B19)</f>
        <v>22.8</v>
      </c>
      <c r="C8" s="211">
        <v>16.846</v>
      </c>
      <c r="D8" s="211">
        <v>11.949</v>
      </c>
      <c r="E8" s="73">
        <f t="shared" si="0"/>
        <v>0.35343701768965929</v>
      </c>
      <c r="F8" s="36">
        <f t="shared" si="1"/>
        <v>0.9081094652272157</v>
      </c>
      <c r="G8" s="209">
        <f>B8+May!G8</f>
        <v>167.10000000000002</v>
      </c>
      <c r="H8" s="209">
        <f>C8+May!H8</f>
        <v>107.87</v>
      </c>
      <c r="I8" s="211">
        <v>93.290999999999997</v>
      </c>
      <c r="J8" s="64">
        <f t="shared" si="2"/>
        <v>0.54908686381755833</v>
      </c>
      <c r="K8" s="65">
        <f t="shared" si="3"/>
        <v>0.79116956619609646</v>
      </c>
    </row>
    <row r="9" spans="1:11">
      <c r="A9" s="7" t="s">
        <v>4</v>
      </c>
      <c r="B9" s="289">
        <v>3.5</v>
      </c>
      <c r="C9" s="211">
        <v>2.0019999999999998</v>
      </c>
      <c r="D9" s="211">
        <v>2.0880000000000001</v>
      </c>
      <c r="E9" s="73">
        <f t="shared" si="0"/>
        <v>0.74825174825174834</v>
      </c>
      <c r="F9" s="36">
        <f t="shared" si="1"/>
        <v>0.67624521072796928</v>
      </c>
      <c r="G9" s="209">
        <f>B9+May!G9</f>
        <v>31.3</v>
      </c>
      <c r="H9" s="209">
        <f>C9+May!H9</f>
        <v>23.138999999999999</v>
      </c>
      <c r="I9" s="211">
        <v>22.093</v>
      </c>
      <c r="J9" s="64">
        <f t="shared" si="2"/>
        <v>0.35269458489995253</v>
      </c>
      <c r="K9" s="65">
        <f t="shared" si="3"/>
        <v>0.41673833340877198</v>
      </c>
    </row>
    <row r="10" spans="1:11">
      <c r="A10" s="7" t="s">
        <v>5</v>
      </c>
      <c r="B10" s="289">
        <v>0.3</v>
      </c>
      <c r="C10" s="211">
        <v>0.28599999999999998</v>
      </c>
      <c r="D10" s="211">
        <v>0.32400000000000001</v>
      </c>
      <c r="E10" s="73">
        <f t="shared" si="0"/>
        <v>4.8951048951048959E-2</v>
      </c>
      <c r="F10" s="36">
        <f t="shared" si="1"/>
        <v>-7.4074074074074181E-2</v>
      </c>
      <c r="G10" s="209">
        <f>B10+May!G10</f>
        <v>3.8999999999999995</v>
      </c>
      <c r="H10" s="209">
        <f>C10+May!H10</f>
        <v>2.5180000000000002</v>
      </c>
      <c r="I10" s="211">
        <v>2.2679999999999998</v>
      </c>
      <c r="J10" s="64">
        <f t="shared" si="2"/>
        <v>0.54884829229547227</v>
      </c>
      <c r="K10" s="65">
        <f t="shared" si="3"/>
        <v>0.71957671957671954</v>
      </c>
    </row>
    <row r="11" spans="1:11">
      <c r="A11" s="7" t="s">
        <v>6</v>
      </c>
      <c r="B11" s="289">
        <v>3.1</v>
      </c>
      <c r="C11" s="211">
        <v>1.56</v>
      </c>
      <c r="D11" s="211">
        <v>1.748</v>
      </c>
      <c r="E11" s="73">
        <f t="shared" si="0"/>
        <v>0.98717948717948723</v>
      </c>
      <c r="F11" s="36">
        <f t="shared" si="1"/>
        <v>0.77345537757437066</v>
      </c>
      <c r="G11" s="209">
        <f>B11+May!G11</f>
        <v>20.700000000000003</v>
      </c>
      <c r="H11" s="209">
        <f>C11+May!H11</f>
        <v>11.238000000000001</v>
      </c>
      <c r="I11" s="211">
        <v>11.472</v>
      </c>
      <c r="J11" s="64">
        <f t="shared" si="2"/>
        <v>0.84196476241324092</v>
      </c>
      <c r="K11" s="65">
        <f t="shared" si="3"/>
        <v>0.80439330543933085</v>
      </c>
    </row>
    <row r="12" spans="1:11">
      <c r="A12" s="7" t="s">
        <v>86</v>
      </c>
      <c r="B12" s="289">
        <v>0.8</v>
      </c>
      <c r="C12" s="211">
        <v>0.56299999999999994</v>
      </c>
      <c r="D12" s="211">
        <v>0.29799999999999999</v>
      </c>
      <c r="E12" s="73">
        <f t="shared" si="0"/>
        <v>0.42095914742451179</v>
      </c>
      <c r="F12" s="36">
        <f t="shared" si="1"/>
        <v>1.6845637583892619</v>
      </c>
      <c r="G12" s="209">
        <f>B12+May!G12</f>
        <v>3.8</v>
      </c>
      <c r="H12" s="209">
        <f>C12+May!H12</f>
        <v>2.3319999999999999</v>
      </c>
      <c r="I12" s="211">
        <v>2.1059999999999999</v>
      </c>
      <c r="J12" s="64">
        <f t="shared" si="2"/>
        <v>0.6295025728987993</v>
      </c>
      <c r="K12" s="65">
        <f t="shared" si="3"/>
        <v>0.80436847103513776</v>
      </c>
    </row>
    <row r="13" spans="1:11">
      <c r="A13" s="7" t="s">
        <v>8</v>
      </c>
      <c r="B13" s="289">
        <v>8.3000000000000007</v>
      </c>
      <c r="C13" s="211">
        <v>7.2450000000000001</v>
      </c>
      <c r="D13" s="211">
        <v>3.7410000000000001</v>
      </c>
      <c r="E13" s="73">
        <f t="shared" si="0"/>
        <v>0.14561766735679793</v>
      </c>
      <c r="F13" s="36">
        <f t="shared" si="1"/>
        <v>1.218658112804063</v>
      </c>
      <c r="G13" s="209">
        <f>B13+May!G13</f>
        <v>57</v>
      </c>
      <c r="H13" s="209">
        <f>C13+May!H13</f>
        <v>32.422999999999995</v>
      </c>
      <c r="I13" s="211">
        <v>22.553999999999998</v>
      </c>
      <c r="J13" s="64">
        <f t="shared" si="2"/>
        <v>0.75801128828300923</v>
      </c>
      <c r="K13" s="65">
        <f t="shared" si="3"/>
        <v>1.5272678903963821</v>
      </c>
    </row>
    <row r="14" spans="1:11">
      <c r="A14" s="7" t="s">
        <v>9</v>
      </c>
      <c r="B14" s="289">
        <v>1.3</v>
      </c>
      <c r="C14" s="211">
        <v>0.79300000000000004</v>
      </c>
      <c r="D14" s="211">
        <v>0.63500000000000001</v>
      </c>
      <c r="E14" s="73">
        <f t="shared" si="0"/>
        <v>0.63934426229508201</v>
      </c>
      <c r="F14" s="36">
        <f t="shared" si="1"/>
        <v>1.0472440944881889</v>
      </c>
      <c r="G14" s="209">
        <f>B14+May!G14</f>
        <v>7.8999999999999995</v>
      </c>
      <c r="H14" s="209">
        <f>C14+May!H14</f>
        <v>5.3040000000000003</v>
      </c>
      <c r="I14" s="211">
        <v>5.3280000000000003</v>
      </c>
      <c r="J14" s="64">
        <f t="shared" si="2"/>
        <v>0.48944193061840102</v>
      </c>
      <c r="K14" s="65">
        <f t="shared" si="3"/>
        <v>0.48273273273273265</v>
      </c>
    </row>
    <row r="15" spans="1:11">
      <c r="A15" s="7" t="s">
        <v>10</v>
      </c>
      <c r="B15" s="289">
        <v>0.7</v>
      </c>
      <c r="C15" s="211">
        <v>0.68899999999999995</v>
      </c>
      <c r="D15" s="211">
        <v>0.52900000000000003</v>
      </c>
      <c r="E15" s="73">
        <f t="shared" si="0"/>
        <v>1.59651669085632E-2</v>
      </c>
      <c r="F15" s="36">
        <f t="shared" si="1"/>
        <v>0.32325141776937594</v>
      </c>
      <c r="G15" s="209">
        <f>B15+May!G15</f>
        <v>5.0000000000000009</v>
      </c>
      <c r="H15" s="209">
        <f>C15+May!H15</f>
        <v>3.3299999999999996</v>
      </c>
      <c r="I15" s="211">
        <v>3.4209999999999998</v>
      </c>
      <c r="J15" s="64">
        <f t="shared" si="2"/>
        <v>0.50150150150150186</v>
      </c>
      <c r="K15" s="65">
        <f t="shared" si="3"/>
        <v>0.46156094709149409</v>
      </c>
    </row>
    <row r="16" spans="1:11">
      <c r="A16" s="7" t="s">
        <v>11</v>
      </c>
      <c r="B16" s="289">
        <v>2.5</v>
      </c>
      <c r="C16" s="211">
        <v>2.3919999999999999</v>
      </c>
      <c r="D16" s="211">
        <v>1.4530000000000001</v>
      </c>
      <c r="E16" s="73">
        <f t="shared" si="0"/>
        <v>4.5150501672240884E-2</v>
      </c>
      <c r="F16" s="36">
        <f t="shared" si="1"/>
        <v>0.72057811424638674</v>
      </c>
      <c r="G16" s="209">
        <f>B16+May!G16</f>
        <v>22.1</v>
      </c>
      <c r="H16" s="209">
        <f>C16+May!H16</f>
        <v>16.425000000000001</v>
      </c>
      <c r="I16" s="211">
        <v>13.644</v>
      </c>
      <c r="J16" s="64">
        <f t="shared" si="2"/>
        <v>0.34550989345509886</v>
      </c>
      <c r="K16" s="65">
        <f t="shared" si="3"/>
        <v>0.61975960128994445</v>
      </c>
    </row>
    <row r="17" spans="1:11">
      <c r="A17" s="7" t="s">
        <v>12</v>
      </c>
      <c r="B17" s="289">
        <v>0.8</v>
      </c>
      <c r="C17" s="211">
        <v>0.51600000000000001</v>
      </c>
      <c r="D17" s="211">
        <v>0.52600000000000002</v>
      </c>
      <c r="E17" s="73">
        <f t="shared" si="0"/>
        <v>0.5503875968992249</v>
      </c>
      <c r="F17" s="36">
        <f t="shared" si="1"/>
        <v>0.52091254752851723</v>
      </c>
      <c r="G17" s="209">
        <f>B17+May!G17</f>
        <v>4.8999999999999995</v>
      </c>
      <c r="H17" s="209">
        <f>C17+May!H17</f>
        <v>4.5449999999999999</v>
      </c>
      <c r="I17" s="211">
        <v>4.069</v>
      </c>
      <c r="J17" s="64">
        <f t="shared" si="2"/>
        <v>7.810781078107798E-2</v>
      </c>
      <c r="K17" s="65">
        <f t="shared" si="3"/>
        <v>0.20422708282133195</v>
      </c>
    </row>
    <row r="18" spans="1:11">
      <c r="A18" s="7" t="s">
        <v>13</v>
      </c>
      <c r="B18" s="289">
        <v>0.3</v>
      </c>
      <c r="C18" s="211">
        <v>0.187</v>
      </c>
      <c r="D18" s="211">
        <v>0.182</v>
      </c>
      <c r="E18" s="73">
        <f t="shared" si="0"/>
        <v>0.60427807486631013</v>
      </c>
      <c r="F18" s="36">
        <f t="shared" si="1"/>
        <v>0.64835164835164827</v>
      </c>
      <c r="G18" s="209">
        <f>B18+May!G18</f>
        <v>1.5</v>
      </c>
      <c r="H18" s="209">
        <f>C18+May!H18</f>
        <v>1.044</v>
      </c>
      <c r="I18" s="211">
        <v>1.23</v>
      </c>
      <c r="J18" s="64">
        <f t="shared" si="2"/>
        <v>0.43678160919540221</v>
      </c>
      <c r="K18" s="65">
        <f t="shared" si="3"/>
        <v>0.21951219512195119</v>
      </c>
    </row>
    <row r="19" spans="1:11">
      <c r="A19" s="7" t="s">
        <v>14</v>
      </c>
      <c r="B19" s="289">
        <v>1.2</v>
      </c>
      <c r="C19" s="211">
        <v>0.61299999999999999</v>
      </c>
      <c r="D19" s="211">
        <v>0.42499999999999999</v>
      </c>
      <c r="E19" s="73">
        <f t="shared" si="0"/>
        <v>0.95758564437194127</v>
      </c>
      <c r="F19" s="36">
        <f t="shared" si="1"/>
        <v>1.8235294117647061</v>
      </c>
      <c r="G19" s="209">
        <f>B19+May!G19</f>
        <v>8.9999999999999982</v>
      </c>
      <c r="H19" s="209">
        <f>C19+May!H19</f>
        <v>5.5719999999999992</v>
      </c>
      <c r="I19" s="211">
        <v>5.0510000000000002</v>
      </c>
      <c r="J19" s="64">
        <f t="shared" si="2"/>
        <v>0.61521895190236897</v>
      </c>
      <c r="K19" s="65">
        <f t="shared" si="3"/>
        <v>0.78182538111265054</v>
      </c>
    </row>
    <row r="20" spans="1:11">
      <c r="A20" s="7"/>
      <c r="B20" s="289"/>
      <c r="C20" s="211"/>
      <c r="D20" s="211"/>
      <c r="E20" s="73"/>
      <c r="F20" s="36"/>
      <c r="G20" s="209"/>
      <c r="H20" s="209"/>
      <c r="I20" s="211">
        <v>0</v>
      </c>
      <c r="J20" s="64"/>
      <c r="K20" s="65"/>
    </row>
    <row r="21" spans="1:11">
      <c r="A21" s="7" t="s">
        <v>15</v>
      </c>
      <c r="B21" s="289">
        <f>SUM(B22:B25)</f>
        <v>6.6000000000000005</v>
      </c>
      <c r="C21" s="211">
        <v>5.8460000000000001</v>
      </c>
      <c r="D21" s="211">
        <v>6.3109999999999999</v>
      </c>
      <c r="E21" s="73">
        <f t="shared" si="0"/>
        <v>0.12897707834416705</v>
      </c>
      <c r="F21" s="36">
        <f t="shared" si="1"/>
        <v>4.5793059736967345E-2</v>
      </c>
      <c r="G21" s="209">
        <f>B21+May!G21</f>
        <v>39.700000000000003</v>
      </c>
      <c r="H21" s="209">
        <f>C21+May!H21</f>
        <v>34.941999999999993</v>
      </c>
      <c r="I21" s="211">
        <v>35.652000000000001</v>
      </c>
      <c r="J21" s="64">
        <f t="shared" si="2"/>
        <v>0.13616850781294754</v>
      </c>
      <c r="K21" s="65">
        <f t="shared" si="3"/>
        <v>0.11354201727813318</v>
      </c>
    </row>
    <row r="22" spans="1:11">
      <c r="A22" s="7" t="s">
        <v>16</v>
      </c>
      <c r="B22" s="289">
        <v>0.8</v>
      </c>
      <c r="C22" s="211">
        <v>0.42699999999999999</v>
      </c>
      <c r="D22" s="211">
        <v>0.52</v>
      </c>
      <c r="E22" s="73">
        <f t="shared" si="0"/>
        <v>0.87353629976580804</v>
      </c>
      <c r="F22" s="36">
        <f t="shared" si="1"/>
        <v>0.53846153846153855</v>
      </c>
      <c r="G22" s="209">
        <f>B22+May!G22</f>
        <v>4.3000000000000007</v>
      </c>
      <c r="H22" s="209">
        <f>C22+May!H22</f>
        <v>2.8989999999999996</v>
      </c>
      <c r="I22" s="211">
        <v>3.0049999999999999</v>
      </c>
      <c r="J22" s="64">
        <f t="shared" si="2"/>
        <v>0.48327009313556446</v>
      </c>
      <c r="K22" s="65">
        <f t="shared" si="3"/>
        <v>0.43094841930116501</v>
      </c>
    </row>
    <row r="23" spans="1:11">
      <c r="A23" s="7" t="s">
        <v>17</v>
      </c>
      <c r="B23" s="289">
        <v>3</v>
      </c>
      <c r="C23" s="211">
        <v>2.859</v>
      </c>
      <c r="D23" s="211">
        <v>2.6619999999999999</v>
      </c>
      <c r="E23" s="73">
        <f t="shared" si="0"/>
        <v>4.9317943336831149E-2</v>
      </c>
      <c r="F23" s="36">
        <f t="shared" si="1"/>
        <v>0.12697220135236664</v>
      </c>
      <c r="G23" s="209">
        <f>B23+May!G23</f>
        <v>22</v>
      </c>
      <c r="H23" s="209">
        <f>C23+May!H23</f>
        <v>18.53</v>
      </c>
      <c r="I23" s="211">
        <v>16.120999999999999</v>
      </c>
      <c r="J23" s="64">
        <f t="shared" si="2"/>
        <v>0.18726389638424168</v>
      </c>
      <c r="K23" s="65">
        <f t="shared" si="3"/>
        <v>0.36467961044600217</v>
      </c>
    </row>
    <row r="24" spans="1:11">
      <c r="A24" s="7" t="s">
        <v>18</v>
      </c>
      <c r="B24" s="289">
        <v>2.1</v>
      </c>
      <c r="C24" s="211">
        <v>1.6220000000000001</v>
      </c>
      <c r="D24" s="211">
        <v>2.0249999999999999</v>
      </c>
      <c r="E24" s="73">
        <f t="shared" si="0"/>
        <v>0.29469790382244132</v>
      </c>
      <c r="F24" s="36">
        <f t="shared" si="1"/>
        <v>3.7037037037037202E-2</v>
      </c>
      <c r="G24" s="209">
        <f>B24+May!G24</f>
        <v>7.8000000000000007</v>
      </c>
      <c r="H24" s="209">
        <f>C24+May!H24</f>
        <v>7.6469999999999994</v>
      </c>
      <c r="I24" s="211">
        <v>9.5440000000000005</v>
      </c>
      <c r="J24" s="64">
        <f t="shared" si="2"/>
        <v>2.000784621420193E-2</v>
      </c>
      <c r="K24" s="65">
        <f t="shared" si="3"/>
        <v>-0.18273260687342829</v>
      </c>
    </row>
    <row r="25" spans="1:11">
      <c r="A25" s="7" t="s">
        <v>19</v>
      </c>
      <c r="B25" s="289">
        <v>0.7</v>
      </c>
      <c r="C25" s="211">
        <v>0.93799999999999994</v>
      </c>
      <c r="D25" s="211">
        <v>1.1040000000000001</v>
      </c>
      <c r="E25" s="73">
        <f t="shared" si="0"/>
        <v>-0.25373134328358204</v>
      </c>
      <c r="F25" s="36">
        <f t="shared" si="1"/>
        <v>-0.36594202898550732</v>
      </c>
      <c r="G25" s="209">
        <f>B25+May!G25</f>
        <v>5.6000000000000005</v>
      </c>
      <c r="H25" s="209">
        <f>C25+May!H25</f>
        <v>5.8659999999999997</v>
      </c>
      <c r="I25" s="211">
        <v>6.9729999999999999</v>
      </c>
      <c r="J25" s="64">
        <f t="shared" si="2"/>
        <v>-4.5346062052505798E-2</v>
      </c>
      <c r="K25" s="65">
        <f t="shared" si="3"/>
        <v>-0.1969023375878387</v>
      </c>
    </row>
    <row r="26" spans="1:11">
      <c r="A26" s="7"/>
      <c r="B26" s="289"/>
      <c r="C26" s="211"/>
      <c r="D26" s="211"/>
      <c r="E26" s="73"/>
      <c r="F26" s="36"/>
      <c r="G26" s="209"/>
      <c r="H26" s="209"/>
      <c r="I26" s="211">
        <v>0</v>
      </c>
      <c r="J26" s="64"/>
      <c r="K26" s="65"/>
    </row>
    <row r="27" spans="1:11">
      <c r="A27" s="7" t="s">
        <v>20</v>
      </c>
      <c r="B27" s="289">
        <f>SUM(B28:B33)</f>
        <v>5.5</v>
      </c>
      <c r="C27" s="211">
        <v>4.6689999999999996</v>
      </c>
      <c r="D27" s="211">
        <v>4.47</v>
      </c>
      <c r="E27" s="73">
        <f t="shared" si="0"/>
        <v>0.17798243735275232</v>
      </c>
      <c r="F27" s="36">
        <f t="shared" si="1"/>
        <v>0.23042505592841178</v>
      </c>
      <c r="G27" s="209">
        <f>B27+May!G27</f>
        <v>33.799999999999997</v>
      </c>
      <c r="H27" s="209">
        <f>C27+May!H27</f>
        <v>31.476000000000003</v>
      </c>
      <c r="I27" s="211">
        <v>31.994</v>
      </c>
      <c r="J27" s="64">
        <f t="shared" si="2"/>
        <v>7.3834032278561335E-2</v>
      </c>
      <c r="K27" s="65">
        <f t="shared" si="3"/>
        <v>5.6448084015752853E-2</v>
      </c>
    </row>
    <row r="28" spans="1:11">
      <c r="A28" s="7" t="s">
        <v>21</v>
      </c>
      <c r="B28" s="289">
        <v>2.8</v>
      </c>
      <c r="C28" s="211">
        <v>2.5470000000000002</v>
      </c>
      <c r="D28" s="211">
        <v>2.1850000000000001</v>
      </c>
      <c r="E28" s="73">
        <f t="shared" si="0"/>
        <v>9.9332548095798945E-2</v>
      </c>
      <c r="F28" s="36">
        <f t="shared" si="1"/>
        <v>0.28146453089244838</v>
      </c>
      <c r="G28" s="209">
        <f>B28+May!G28</f>
        <v>11.600000000000001</v>
      </c>
      <c r="H28" s="209">
        <f>C28+May!H28</f>
        <v>9.3890000000000011</v>
      </c>
      <c r="I28" s="211">
        <v>9.1780000000000008</v>
      </c>
      <c r="J28" s="64">
        <f t="shared" si="2"/>
        <v>0.23548833741612518</v>
      </c>
      <c r="K28" s="65">
        <f t="shared" si="3"/>
        <v>0.26389191544998924</v>
      </c>
    </row>
    <row r="29" spans="1:11">
      <c r="A29" s="7" t="s">
        <v>22</v>
      </c>
      <c r="B29" s="289">
        <v>0.1</v>
      </c>
      <c r="C29" s="211">
        <v>0.121</v>
      </c>
      <c r="D29" s="211">
        <v>0.125</v>
      </c>
      <c r="E29" s="73">
        <f t="shared" si="0"/>
        <v>-0.17355371900826444</v>
      </c>
      <c r="F29" s="36">
        <f t="shared" si="1"/>
        <v>-0.19999999999999996</v>
      </c>
      <c r="G29" s="209">
        <f>B29+May!G29</f>
        <v>5.8</v>
      </c>
      <c r="H29" s="209">
        <f>C29+May!H29</f>
        <v>7.7439999999999998</v>
      </c>
      <c r="I29" s="211">
        <v>5.2850000000000001</v>
      </c>
      <c r="J29" s="64">
        <f t="shared" si="2"/>
        <v>-0.25103305785123964</v>
      </c>
      <c r="K29" s="65">
        <f t="shared" si="3"/>
        <v>9.744560075685893E-2</v>
      </c>
    </row>
    <row r="30" spans="1:11">
      <c r="A30" s="7" t="s">
        <v>23</v>
      </c>
      <c r="B30" s="289">
        <v>0.2</v>
      </c>
      <c r="C30" s="211">
        <v>0.16600000000000001</v>
      </c>
      <c r="D30" s="211">
        <v>0.182</v>
      </c>
      <c r="E30" s="73">
        <f t="shared" si="0"/>
        <v>0.20481927710843384</v>
      </c>
      <c r="F30" s="36">
        <f t="shared" si="1"/>
        <v>9.8901098901098994E-2</v>
      </c>
      <c r="G30" s="209">
        <f>B30+May!G30</f>
        <v>1.6</v>
      </c>
      <c r="H30" s="209">
        <f>C30+May!H30</f>
        <v>1.464</v>
      </c>
      <c r="I30" s="211">
        <v>1.6759999999999999</v>
      </c>
      <c r="J30" s="64">
        <f t="shared" si="2"/>
        <v>9.2896174863388081E-2</v>
      </c>
      <c r="K30" s="65">
        <f t="shared" si="3"/>
        <v>-4.5346062052505909E-2</v>
      </c>
    </row>
    <row r="31" spans="1:11">
      <c r="A31" s="6" t="s">
        <v>24</v>
      </c>
      <c r="B31" s="289">
        <v>0.3</v>
      </c>
      <c r="C31" s="211">
        <v>0.32200000000000001</v>
      </c>
      <c r="D31" s="211">
        <v>0.53500000000000003</v>
      </c>
      <c r="E31" s="73">
        <f t="shared" si="0"/>
        <v>-6.8322981366459645E-2</v>
      </c>
      <c r="F31" s="36">
        <f t="shared" si="1"/>
        <v>-0.43925233644859818</v>
      </c>
      <c r="G31" s="209">
        <f>B31+May!G31</f>
        <v>2.8999999999999995</v>
      </c>
      <c r="H31" s="209">
        <f>C31+May!H31</f>
        <v>2.6870000000000003</v>
      </c>
      <c r="I31" s="211">
        <v>4.8099999999999996</v>
      </c>
      <c r="J31" s="64">
        <f t="shared" si="2"/>
        <v>7.9270561965016473E-2</v>
      </c>
      <c r="K31" s="65">
        <f t="shared" si="3"/>
        <v>-0.39708939708939717</v>
      </c>
    </row>
    <row r="32" spans="1:11">
      <c r="A32" s="6" t="s">
        <v>25</v>
      </c>
      <c r="B32" s="289">
        <v>0.5</v>
      </c>
      <c r="C32" s="211">
        <v>0.33300000000000002</v>
      </c>
      <c r="D32" s="211">
        <v>0.22600000000000001</v>
      </c>
      <c r="E32" s="73">
        <f t="shared" si="0"/>
        <v>0.50150150150150141</v>
      </c>
      <c r="F32" s="36">
        <f t="shared" si="1"/>
        <v>1.2123893805309733</v>
      </c>
      <c r="G32" s="209">
        <f>B32+May!G32</f>
        <v>1.6</v>
      </c>
      <c r="H32" s="209">
        <f>C32+May!H32</f>
        <v>1.4139999999999999</v>
      </c>
      <c r="I32" s="211">
        <v>1.52</v>
      </c>
      <c r="J32" s="64">
        <f t="shared" si="2"/>
        <v>0.13154172560113175</v>
      </c>
      <c r="K32" s="65">
        <f t="shared" si="3"/>
        <v>5.2631578947368363E-2</v>
      </c>
    </row>
    <row r="33" spans="1:11">
      <c r="A33" s="7" t="s">
        <v>19</v>
      </c>
      <c r="B33" s="289">
        <v>1.6</v>
      </c>
      <c r="C33" s="211">
        <v>1.18</v>
      </c>
      <c r="D33" s="211">
        <v>1.2170000000000001</v>
      </c>
      <c r="E33" s="73">
        <f t="shared" si="0"/>
        <v>0.35593220338983067</v>
      </c>
      <c r="F33" s="36">
        <f t="shared" si="1"/>
        <v>0.31470829909613807</v>
      </c>
      <c r="G33" s="209">
        <f>B33+May!G33</f>
        <v>10.199999999999999</v>
      </c>
      <c r="H33" s="209">
        <f>C33+May!H33</f>
        <v>8.7780000000000005</v>
      </c>
      <c r="I33" s="211">
        <v>9.5250000000000004</v>
      </c>
      <c r="J33" s="64">
        <f t="shared" si="2"/>
        <v>0.16199589883800392</v>
      </c>
      <c r="K33" s="65">
        <f t="shared" si="3"/>
        <v>7.0866141732283339E-2</v>
      </c>
    </row>
    <row r="34" spans="1:11">
      <c r="A34" s="2"/>
      <c r="B34" s="289"/>
      <c r="C34" s="211"/>
      <c r="D34" s="211"/>
      <c r="E34" s="73"/>
      <c r="F34" s="36"/>
      <c r="G34" s="209"/>
      <c r="H34" s="209"/>
      <c r="I34" s="211">
        <v>0</v>
      </c>
      <c r="J34" s="64"/>
      <c r="K34" s="65"/>
    </row>
    <row r="35" spans="1:11">
      <c r="A35" s="7" t="s">
        <v>26</v>
      </c>
      <c r="B35" s="289">
        <f>B36+SUM(B41:B51)+B54+B55+B56+B57+SUM(B63:B77)</f>
        <v>147.19999999999999</v>
      </c>
      <c r="C35" s="211">
        <v>120.78</v>
      </c>
      <c r="D35" s="211">
        <v>123.34</v>
      </c>
      <c r="E35" s="73">
        <f t="shared" si="0"/>
        <v>0.21874482530220218</v>
      </c>
      <c r="F35" s="36">
        <f t="shared" si="1"/>
        <v>0.19344900275660759</v>
      </c>
      <c r="G35" s="209">
        <f>B35+May!G35</f>
        <v>942.7</v>
      </c>
      <c r="H35" s="209">
        <f>C35+May!H35</f>
        <v>769.73</v>
      </c>
      <c r="I35" s="211">
        <v>924.74900000000002</v>
      </c>
      <c r="J35" s="64">
        <f t="shared" si="2"/>
        <v>0.22471515986125001</v>
      </c>
      <c r="K35" s="65">
        <f t="shared" si="3"/>
        <v>1.9411753892137229E-2</v>
      </c>
    </row>
    <row r="36" spans="1:11">
      <c r="A36" s="7" t="s">
        <v>27</v>
      </c>
      <c r="B36" s="289">
        <f>SUM(B37:B40)</f>
        <v>5.6000000000000005</v>
      </c>
      <c r="C36" s="211">
        <v>4.74</v>
      </c>
      <c r="D36" s="211">
        <v>5.2869999999999999</v>
      </c>
      <c r="E36" s="73">
        <f t="shared" si="0"/>
        <v>0.18143459915611815</v>
      </c>
      <c r="F36" s="36">
        <f t="shared" si="1"/>
        <v>5.9201815774541533E-2</v>
      </c>
      <c r="G36" s="209">
        <f>B36+May!G36</f>
        <v>36.200000000000003</v>
      </c>
      <c r="H36" s="209">
        <f>C36+May!H36</f>
        <v>33.331000000000003</v>
      </c>
      <c r="I36" s="211">
        <v>35.552999999999997</v>
      </c>
      <c r="J36" s="64">
        <f t="shared" si="2"/>
        <v>8.6076025321772498E-2</v>
      </c>
      <c r="K36" s="65">
        <f t="shared" si="3"/>
        <v>1.8198182994402901E-2</v>
      </c>
    </row>
    <row r="37" spans="1:11">
      <c r="A37" s="7" t="s">
        <v>28</v>
      </c>
      <c r="B37" s="289">
        <v>1</v>
      </c>
      <c r="C37" s="211">
        <v>0.90300000000000002</v>
      </c>
      <c r="D37" s="211">
        <v>0.86299999999999999</v>
      </c>
      <c r="E37" s="73">
        <f t="shared" si="0"/>
        <v>0.10741971207087486</v>
      </c>
      <c r="F37" s="36">
        <f t="shared" si="1"/>
        <v>0.15874855156431056</v>
      </c>
      <c r="G37" s="209">
        <f>B37+May!G37</f>
        <v>8.3000000000000007</v>
      </c>
      <c r="H37" s="209">
        <f>C37+May!H37</f>
        <v>7.4290000000000003</v>
      </c>
      <c r="I37" s="211">
        <v>6.1639999999999997</v>
      </c>
      <c r="J37" s="64">
        <f t="shared" si="2"/>
        <v>0.1172432359671558</v>
      </c>
      <c r="K37" s="65">
        <f t="shared" si="3"/>
        <v>0.34652822842310216</v>
      </c>
    </row>
    <row r="38" spans="1:11">
      <c r="A38" s="7" t="s">
        <v>29</v>
      </c>
      <c r="B38" s="289">
        <v>2.2999999999999998</v>
      </c>
      <c r="C38" s="211">
        <v>1.851</v>
      </c>
      <c r="D38" s="211">
        <v>2.097</v>
      </c>
      <c r="E38" s="73">
        <f t="shared" si="0"/>
        <v>0.24257158292814696</v>
      </c>
      <c r="F38" s="36">
        <f t="shared" si="1"/>
        <v>9.6804959465903506E-2</v>
      </c>
      <c r="G38" s="209">
        <f>B38+May!G38</f>
        <v>12.600000000000001</v>
      </c>
      <c r="H38" s="209">
        <f>C38+May!H38</f>
        <v>10.739999999999998</v>
      </c>
      <c r="I38" s="211">
        <v>12.601000000000001</v>
      </c>
      <c r="J38" s="64">
        <f t="shared" si="2"/>
        <v>0.17318435754189965</v>
      </c>
      <c r="K38" s="65">
        <f t="shared" si="3"/>
        <v>-7.9358781049032601E-5</v>
      </c>
    </row>
    <row r="39" spans="1:11">
      <c r="A39" s="7" t="s">
        <v>30</v>
      </c>
      <c r="B39" s="289">
        <v>1.1000000000000001</v>
      </c>
      <c r="C39" s="211">
        <v>0.92800000000000005</v>
      </c>
      <c r="D39" s="211">
        <v>0.98599999999999999</v>
      </c>
      <c r="E39" s="73">
        <f t="shared" si="0"/>
        <v>0.18534482758620685</v>
      </c>
      <c r="F39" s="36">
        <f t="shared" si="1"/>
        <v>0.11561866125760667</v>
      </c>
      <c r="G39" s="209">
        <f>B39+May!G39</f>
        <v>6.1</v>
      </c>
      <c r="H39" s="209">
        <f>C39+May!H39</f>
        <v>6.0040000000000004</v>
      </c>
      <c r="I39" s="211">
        <v>6.718</v>
      </c>
      <c r="J39" s="64">
        <f t="shared" si="2"/>
        <v>1.5989340439706679E-2</v>
      </c>
      <c r="K39" s="65">
        <f t="shared" si="3"/>
        <v>-9.199166418576965E-2</v>
      </c>
    </row>
    <row r="40" spans="1:11">
      <c r="A40" s="7" t="s">
        <v>31</v>
      </c>
      <c r="B40" s="289">
        <v>1.2</v>
      </c>
      <c r="C40" s="211">
        <v>1.026</v>
      </c>
      <c r="D40" s="211">
        <v>1.2769999999999999</v>
      </c>
      <c r="E40" s="73">
        <f t="shared" si="0"/>
        <v>0.16959064327485374</v>
      </c>
      <c r="F40" s="36">
        <f t="shared" si="1"/>
        <v>-6.0297572435395463E-2</v>
      </c>
      <c r="G40" s="209">
        <f>B40+May!G40</f>
        <v>9.1999999999999993</v>
      </c>
      <c r="H40" s="209">
        <f>C40+May!H40</f>
        <v>8.9550000000000001</v>
      </c>
      <c r="I40" s="211">
        <v>9.8420000000000005</v>
      </c>
      <c r="J40" s="64">
        <f t="shared" si="2"/>
        <v>2.7359017308765887E-2</v>
      </c>
      <c r="K40" s="65">
        <f t="shared" si="3"/>
        <v>-6.523064417801272E-2</v>
      </c>
    </row>
    <row r="41" spans="1:11">
      <c r="A41" s="7" t="s">
        <v>32</v>
      </c>
      <c r="B41" s="289">
        <v>16.5</v>
      </c>
      <c r="C41" s="211">
        <v>15.433</v>
      </c>
      <c r="D41" s="211">
        <v>14.473000000000001</v>
      </c>
      <c r="E41" s="73">
        <f t="shared" si="0"/>
        <v>6.9137562366357708E-2</v>
      </c>
      <c r="F41" s="36">
        <f t="shared" si="1"/>
        <v>0.14005389345678143</v>
      </c>
      <c r="G41" s="209">
        <f>B41+May!G41</f>
        <v>95.5</v>
      </c>
      <c r="H41" s="209">
        <f>C41+May!H41</f>
        <v>86.448000000000008</v>
      </c>
      <c r="I41" s="211">
        <v>94.769000000000005</v>
      </c>
      <c r="J41" s="64">
        <f t="shared" si="2"/>
        <v>0.10471034610401619</v>
      </c>
      <c r="K41" s="65">
        <f t="shared" si="3"/>
        <v>7.7134928088298249E-3</v>
      </c>
    </row>
    <row r="42" spans="1:11">
      <c r="A42" s="7" t="s">
        <v>33</v>
      </c>
      <c r="B42" s="289">
        <v>0.9</v>
      </c>
      <c r="C42" s="211">
        <v>0.77300000000000002</v>
      </c>
      <c r="D42" s="211">
        <v>0.82399999999999995</v>
      </c>
      <c r="E42" s="73">
        <f t="shared" si="0"/>
        <v>0.16429495472186284</v>
      </c>
      <c r="F42" s="36">
        <f t="shared" si="1"/>
        <v>9.2233009708738045E-2</v>
      </c>
      <c r="G42" s="209">
        <f>B42+May!G42</f>
        <v>4.8000000000000007</v>
      </c>
      <c r="H42" s="209">
        <f>C42+May!H42</f>
        <v>4.3409999999999993</v>
      </c>
      <c r="I42" s="211">
        <v>4.2839999999999998</v>
      </c>
      <c r="J42" s="64">
        <f t="shared" si="2"/>
        <v>0.10573600552868045</v>
      </c>
      <c r="K42" s="65">
        <f t="shared" si="3"/>
        <v>0.12044817927170892</v>
      </c>
    </row>
    <row r="43" spans="1:11">
      <c r="A43" s="7" t="s">
        <v>34</v>
      </c>
      <c r="B43" s="289">
        <v>4</v>
      </c>
      <c r="C43" s="211">
        <v>3.5</v>
      </c>
      <c r="D43" s="211">
        <v>3.33</v>
      </c>
      <c r="E43" s="73">
        <f t="shared" si="0"/>
        <v>0.14285714285714279</v>
      </c>
      <c r="F43" s="36">
        <f t="shared" si="1"/>
        <v>0.20120120120120122</v>
      </c>
      <c r="G43" s="209">
        <f>B43+May!G43</f>
        <v>31.700000000000003</v>
      </c>
      <c r="H43" s="209">
        <f>C43+May!H43</f>
        <v>25.015000000000001</v>
      </c>
      <c r="I43" s="211">
        <v>24.690999999999999</v>
      </c>
      <c r="J43" s="64">
        <f t="shared" si="2"/>
        <v>0.26723965620627621</v>
      </c>
      <c r="K43" s="65">
        <f t="shared" si="3"/>
        <v>0.28386861609493352</v>
      </c>
    </row>
    <row r="44" spans="1:11">
      <c r="A44" s="7" t="s">
        <v>35</v>
      </c>
      <c r="B44" s="289">
        <v>2.5</v>
      </c>
      <c r="C44" s="211">
        <v>2.6419999999999999</v>
      </c>
      <c r="D44" s="211">
        <v>2.5680000000000001</v>
      </c>
      <c r="E44" s="73">
        <f t="shared" si="0"/>
        <v>-5.374716124148371E-2</v>
      </c>
      <c r="F44" s="36">
        <f t="shared" si="1"/>
        <v>-2.6479750778816258E-2</v>
      </c>
      <c r="G44" s="209">
        <f>B44+May!G44</f>
        <v>17.5</v>
      </c>
      <c r="H44" s="209">
        <f>C44+May!H44</f>
        <v>16.135999999999999</v>
      </c>
      <c r="I44" s="211">
        <v>16.545000000000002</v>
      </c>
      <c r="J44" s="64">
        <f t="shared" si="2"/>
        <v>8.4531482399603508E-2</v>
      </c>
      <c r="K44" s="65">
        <f t="shared" si="3"/>
        <v>5.7721365971592498E-2</v>
      </c>
    </row>
    <row r="45" spans="1:11">
      <c r="A45" s="6" t="s">
        <v>36</v>
      </c>
      <c r="B45" s="289">
        <v>21.9</v>
      </c>
      <c r="C45" s="211">
        <v>20.811</v>
      </c>
      <c r="D45" s="211">
        <v>18.189</v>
      </c>
      <c r="E45" s="73">
        <f t="shared" si="0"/>
        <v>5.2328095718610301E-2</v>
      </c>
      <c r="F45" s="36">
        <f t="shared" si="1"/>
        <v>0.20402441035790853</v>
      </c>
      <c r="G45" s="209">
        <f>B45+May!G45</f>
        <v>140.9</v>
      </c>
      <c r="H45" s="209">
        <f>C45+May!H45</f>
        <v>129.46200000000002</v>
      </c>
      <c r="I45" s="211">
        <v>133.08099999999999</v>
      </c>
      <c r="J45" s="64">
        <f t="shared" si="2"/>
        <v>8.8350249494060007E-2</v>
      </c>
      <c r="K45" s="65">
        <f t="shared" si="3"/>
        <v>5.8753691360900584E-2</v>
      </c>
    </row>
    <row r="46" spans="1:11">
      <c r="A46" s="6" t="s">
        <v>37</v>
      </c>
      <c r="B46" s="289">
        <v>7.8</v>
      </c>
      <c r="C46" s="211">
        <v>6.2210000000000001</v>
      </c>
      <c r="D46" s="211">
        <v>6.516</v>
      </c>
      <c r="E46" s="73">
        <f t="shared" si="0"/>
        <v>0.25381771419385957</v>
      </c>
      <c r="F46" s="36">
        <f t="shared" si="1"/>
        <v>0.19705340699815843</v>
      </c>
      <c r="G46" s="209">
        <f>B46+May!G46</f>
        <v>46.4</v>
      </c>
      <c r="H46" s="209">
        <f>C46+May!H46</f>
        <v>36.227000000000004</v>
      </c>
      <c r="I46" s="211">
        <v>41.713999999999999</v>
      </c>
      <c r="J46" s="64">
        <f t="shared" si="2"/>
        <v>0.28081265354569784</v>
      </c>
      <c r="K46" s="65">
        <f t="shared" si="3"/>
        <v>0.11233638586565653</v>
      </c>
    </row>
    <row r="47" spans="1:11">
      <c r="A47" s="7" t="s">
        <v>38</v>
      </c>
      <c r="B47" s="289">
        <v>3.6</v>
      </c>
      <c r="C47" s="211">
        <v>2.9790000000000001</v>
      </c>
      <c r="D47" s="211">
        <v>2.9420000000000002</v>
      </c>
      <c r="E47" s="73">
        <f t="shared" si="0"/>
        <v>0.2084592145015105</v>
      </c>
      <c r="F47" s="36">
        <f t="shared" si="1"/>
        <v>0.22365737593473822</v>
      </c>
      <c r="G47" s="209">
        <f>B47+May!G47</f>
        <v>23.5</v>
      </c>
      <c r="H47" s="209">
        <f>C47+May!H47</f>
        <v>19.720999999999997</v>
      </c>
      <c r="I47" s="211">
        <v>19.738</v>
      </c>
      <c r="J47" s="64">
        <f t="shared" si="2"/>
        <v>0.19162314284265514</v>
      </c>
      <c r="K47" s="65">
        <f t="shared" si="3"/>
        <v>0.19059681831999198</v>
      </c>
    </row>
    <row r="48" spans="1:11">
      <c r="A48" s="7" t="s">
        <v>39</v>
      </c>
      <c r="B48" s="289">
        <v>16.899999999999999</v>
      </c>
      <c r="C48" s="211">
        <v>10.481999999999999</v>
      </c>
      <c r="D48" s="211">
        <v>11.007</v>
      </c>
      <c r="E48" s="73">
        <f t="shared" si="0"/>
        <v>0.61228773134897918</v>
      </c>
      <c r="F48" s="36">
        <f t="shared" si="1"/>
        <v>0.53538657218133912</v>
      </c>
      <c r="G48" s="209">
        <f>B48+May!G48</f>
        <v>105</v>
      </c>
      <c r="H48" s="209">
        <f>C48+May!H48</f>
        <v>80.995000000000005</v>
      </c>
      <c r="I48" s="211">
        <v>90.337000000000003</v>
      </c>
      <c r="J48" s="64">
        <f t="shared" si="2"/>
        <v>0.2963763195258966</v>
      </c>
      <c r="K48" s="65">
        <f t="shared" si="3"/>
        <v>0.16231444480113355</v>
      </c>
    </row>
    <row r="49" spans="1:11">
      <c r="A49" s="7" t="s">
        <v>40</v>
      </c>
      <c r="B49" s="289">
        <v>2.2000000000000002</v>
      </c>
      <c r="C49" s="211">
        <v>1.5760000000000001</v>
      </c>
      <c r="D49" s="211">
        <v>1.8520000000000001</v>
      </c>
      <c r="E49" s="73">
        <f t="shared" si="0"/>
        <v>0.39593908629441632</v>
      </c>
      <c r="F49" s="36">
        <f t="shared" si="1"/>
        <v>0.1879049676025919</v>
      </c>
      <c r="G49" s="209">
        <f>B49+May!G49</f>
        <v>14.700000000000003</v>
      </c>
      <c r="H49" s="209">
        <f>C49+May!H49</f>
        <v>11.657</v>
      </c>
      <c r="I49" s="211">
        <v>12.688000000000001</v>
      </c>
      <c r="J49" s="64">
        <f t="shared" si="2"/>
        <v>0.26104486574590391</v>
      </c>
      <c r="K49" s="65">
        <f t="shared" si="3"/>
        <v>0.1585750315258514</v>
      </c>
    </row>
    <row r="50" spans="1:11">
      <c r="A50" s="6" t="s">
        <v>41</v>
      </c>
      <c r="B50" s="289">
        <v>5.9</v>
      </c>
      <c r="C50" s="211">
        <v>3.4969999999999999</v>
      </c>
      <c r="D50" s="211">
        <v>4.1260000000000003</v>
      </c>
      <c r="E50" s="73">
        <f>B50/C50-1</f>
        <v>0.68716042321990289</v>
      </c>
      <c r="F50" s="36">
        <f>B50/D50-1</f>
        <v>0.42995637421231203</v>
      </c>
      <c r="G50" s="209">
        <f>B50+May!G50</f>
        <v>26</v>
      </c>
      <c r="H50" s="209">
        <f>C50+May!H50</f>
        <v>18.805</v>
      </c>
      <c r="I50" s="211">
        <v>20.117000000000001</v>
      </c>
      <c r="J50" s="64">
        <f t="shared" si="2"/>
        <v>0.38261100771071521</v>
      </c>
      <c r="K50" s="65">
        <f t="shared" si="3"/>
        <v>0.29243923050156573</v>
      </c>
    </row>
    <row r="51" spans="1:11">
      <c r="A51" s="7" t="s">
        <v>42</v>
      </c>
      <c r="B51" s="289">
        <v>1.1000000000000001</v>
      </c>
      <c r="C51" s="211">
        <v>0.72199999999999998</v>
      </c>
      <c r="D51" s="211">
        <v>0.66500000000000004</v>
      </c>
      <c r="E51" s="73">
        <f>B51/C51-1</f>
        <v>0.52354570637119124</v>
      </c>
      <c r="F51" s="36">
        <f>B51/D51-1</f>
        <v>0.65413533834586479</v>
      </c>
      <c r="G51" s="209">
        <f>B51+May!G51</f>
        <v>4.5999999999999996</v>
      </c>
      <c r="H51" s="209">
        <f>C51+May!H51</f>
        <v>3.6890000000000001</v>
      </c>
      <c r="I51" s="211">
        <v>4.0049999999999999</v>
      </c>
      <c r="J51" s="64">
        <f t="shared" si="2"/>
        <v>0.24695039306044997</v>
      </c>
      <c r="K51" s="65">
        <f t="shared" si="3"/>
        <v>0.14856429463171028</v>
      </c>
    </row>
    <row r="52" spans="1:11">
      <c r="A52" s="7"/>
      <c r="B52" s="289"/>
      <c r="C52" s="211"/>
      <c r="D52" s="211"/>
      <c r="E52" s="73"/>
      <c r="F52" s="36"/>
      <c r="G52" s="209"/>
      <c r="H52" s="209"/>
      <c r="I52" s="211">
        <v>0</v>
      </c>
      <c r="J52" s="64"/>
      <c r="K52" s="65"/>
    </row>
    <row r="53" spans="1:11">
      <c r="A53" s="7" t="s">
        <v>43</v>
      </c>
      <c r="B53" s="289">
        <f>SUM(B54:B60)</f>
        <v>39.800000000000004</v>
      </c>
      <c r="C53" s="211">
        <v>34.304000000000002</v>
      </c>
      <c r="D53" s="211">
        <v>37.993000000000002</v>
      </c>
      <c r="E53" s="73">
        <f t="shared" si="0"/>
        <v>0.1602145522388061</v>
      </c>
      <c r="F53" s="36">
        <f t="shared" si="1"/>
        <v>4.7561392888163745E-2</v>
      </c>
      <c r="G53" s="209">
        <f>B53+May!G53</f>
        <v>251.8</v>
      </c>
      <c r="H53" s="209">
        <f>C53+May!H53</f>
        <v>197.369</v>
      </c>
      <c r="I53" s="211">
        <v>308.39299999999997</v>
      </c>
      <c r="J53" s="64">
        <f t="shared" si="2"/>
        <v>0.27578292437008867</v>
      </c>
      <c r="K53" s="65">
        <f t="shared" si="3"/>
        <v>-0.18350935332514018</v>
      </c>
    </row>
    <row r="54" spans="1:11">
      <c r="A54" s="7" t="s">
        <v>44</v>
      </c>
      <c r="B54" s="289">
        <v>23.1</v>
      </c>
      <c r="C54" s="211">
        <v>19.884</v>
      </c>
      <c r="D54" s="211">
        <v>25.315000000000001</v>
      </c>
      <c r="E54" s="73">
        <f t="shared" si="0"/>
        <v>0.16173808086904051</v>
      </c>
      <c r="F54" s="36">
        <f t="shared" si="1"/>
        <v>-8.7497531108038706E-2</v>
      </c>
      <c r="G54" s="209">
        <f>B54+May!G54</f>
        <v>159.6</v>
      </c>
      <c r="H54" s="209">
        <f>C54+May!H54</f>
        <v>122.444</v>
      </c>
      <c r="I54" s="211">
        <v>221.65700000000001</v>
      </c>
      <c r="J54" s="64">
        <f t="shared" si="2"/>
        <v>0.30345300708895495</v>
      </c>
      <c r="K54" s="65">
        <f t="shared" si="3"/>
        <v>-0.27996860013444202</v>
      </c>
    </row>
    <row r="55" spans="1:11">
      <c r="A55" s="7" t="s">
        <v>45</v>
      </c>
      <c r="B55" s="289">
        <v>11.5</v>
      </c>
      <c r="C55" s="211">
        <v>10.73</v>
      </c>
      <c r="D55" s="211">
        <v>9.6180000000000003</v>
      </c>
      <c r="E55" s="73">
        <f t="shared" si="0"/>
        <v>7.1761416589002813E-2</v>
      </c>
      <c r="F55" s="36">
        <f t="shared" si="1"/>
        <v>0.19567477646080267</v>
      </c>
      <c r="G55" s="209">
        <f>B55+May!G55</f>
        <v>68.900000000000006</v>
      </c>
      <c r="H55" s="209">
        <f>C55+May!H55</f>
        <v>57.069000000000003</v>
      </c>
      <c r="I55" s="211">
        <v>61.267000000000003</v>
      </c>
      <c r="J55" s="64">
        <f t="shared" si="2"/>
        <v>0.20731044875501592</v>
      </c>
      <c r="K55" s="65">
        <f t="shared" si="3"/>
        <v>0.12458582923923167</v>
      </c>
    </row>
    <row r="56" spans="1:11">
      <c r="A56" s="7" t="s">
        <v>46</v>
      </c>
      <c r="B56" s="289">
        <v>2.5</v>
      </c>
      <c r="C56" s="211">
        <v>1.869</v>
      </c>
      <c r="D56" s="211">
        <v>1.2609999999999999</v>
      </c>
      <c r="E56" s="73">
        <f t="shared" si="0"/>
        <v>0.33761369716425893</v>
      </c>
      <c r="F56" s="36">
        <f t="shared" si="1"/>
        <v>0.98255352894528158</v>
      </c>
      <c r="G56" s="209">
        <f>B56+May!G56</f>
        <v>9.9</v>
      </c>
      <c r="H56" s="209">
        <f>C56+May!H56</f>
        <v>9.58</v>
      </c>
      <c r="I56" s="211">
        <v>11.138</v>
      </c>
      <c r="J56" s="64">
        <f t="shared" si="2"/>
        <v>3.3402922755741082E-2</v>
      </c>
      <c r="K56" s="65">
        <f t="shared" si="3"/>
        <v>-0.11115101454480159</v>
      </c>
    </row>
    <row r="57" spans="1:11">
      <c r="A57" s="7" t="s">
        <v>47</v>
      </c>
      <c r="B57" s="289">
        <v>1</v>
      </c>
      <c r="C57" s="211">
        <v>0.73399999999999999</v>
      </c>
      <c r="D57" s="211">
        <v>0.68400000000000005</v>
      </c>
      <c r="E57" s="73">
        <f t="shared" si="0"/>
        <v>0.36239782016348787</v>
      </c>
      <c r="F57" s="36">
        <f t="shared" si="1"/>
        <v>0.46198830409356706</v>
      </c>
      <c r="G57" s="209">
        <f>B57+May!G57</f>
        <v>4.8</v>
      </c>
      <c r="H57" s="209">
        <f>C57+May!H57</f>
        <v>3.4409999999999998</v>
      </c>
      <c r="I57" s="211">
        <v>3.7650000000000001</v>
      </c>
      <c r="J57" s="64">
        <f t="shared" si="2"/>
        <v>0.39494333042720142</v>
      </c>
      <c r="K57" s="65">
        <f t="shared" si="3"/>
        <v>0.27490039840637448</v>
      </c>
    </row>
    <row r="58" spans="1:11">
      <c r="A58" s="7" t="s">
        <v>48</v>
      </c>
      <c r="B58" s="289">
        <v>0.3</v>
      </c>
      <c r="C58" s="211">
        <v>0.35799999999999998</v>
      </c>
      <c r="D58" s="211">
        <v>0.307</v>
      </c>
      <c r="E58" s="73">
        <f t="shared" si="0"/>
        <v>-0.16201117318435754</v>
      </c>
      <c r="F58" s="36">
        <f t="shared" si="1"/>
        <v>-2.2801302931596101E-2</v>
      </c>
      <c r="G58" s="209">
        <f>B58+May!G58</f>
        <v>1.8</v>
      </c>
      <c r="H58" s="209">
        <f>C58+May!H58</f>
        <v>1.778</v>
      </c>
      <c r="I58" s="211">
        <v>1.6719999999999999</v>
      </c>
      <c r="J58" s="64">
        <f t="shared" si="2"/>
        <v>1.2373453318335281E-2</v>
      </c>
      <c r="K58" s="65">
        <f t="shared" si="3"/>
        <v>7.6555023923445153E-2</v>
      </c>
    </row>
    <row r="59" spans="1:11">
      <c r="A59" s="7" t="s">
        <v>87</v>
      </c>
      <c r="B59" s="289">
        <v>0.7</v>
      </c>
      <c r="C59" s="211">
        <v>0.626</v>
      </c>
      <c r="D59" s="211">
        <v>0.71399999999999997</v>
      </c>
      <c r="E59" s="73">
        <f t="shared" si="0"/>
        <v>0.11821086261980818</v>
      </c>
      <c r="F59" s="36">
        <f t="shared" si="1"/>
        <v>-1.9607843137254943E-2</v>
      </c>
      <c r="G59" s="209">
        <f>B59+May!G59</f>
        <v>3.2</v>
      </c>
      <c r="H59" s="209">
        <f>C59+May!H59</f>
        <v>2.6140000000000003</v>
      </c>
      <c r="I59" s="211">
        <v>7.9169999999999998</v>
      </c>
      <c r="J59" s="64">
        <f t="shared" si="2"/>
        <v>0.22417750573833195</v>
      </c>
      <c r="K59" s="65">
        <f t="shared" si="3"/>
        <v>-0.59580649235821648</v>
      </c>
    </row>
    <row r="60" spans="1:11">
      <c r="A60" s="7" t="s">
        <v>49</v>
      </c>
      <c r="B60" s="289">
        <v>0.7</v>
      </c>
      <c r="C60" s="211">
        <v>0.10299999999999999</v>
      </c>
      <c r="D60" s="211">
        <v>9.4E-2</v>
      </c>
      <c r="E60" s="73">
        <f t="shared" si="0"/>
        <v>5.7961165048543686</v>
      </c>
      <c r="F60" s="36">
        <f t="shared" si="1"/>
        <v>6.4468085106382977</v>
      </c>
      <c r="G60" s="209">
        <f>B60+May!G60</f>
        <v>3.6000000000000005</v>
      </c>
      <c r="H60" s="209">
        <f>C60+May!H60</f>
        <v>0.443</v>
      </c>
      <c r="I60" s="211">
        <v>0.97699999999999998</v>
      </c>
      <c r="J60" s="64">
        <f t="shared" si="2"/>
        <v>7.1264108352144486</v>
      </c>
      <c r="K60" s="65">
        <f t="shared" si="3"/>
        <v>2.6847492323439104</v>
      </c>
    </row>
    <row r="61" spans="1:11">
      <c r="A61" s="2"/>
      <c r="B61" s="289"/>
      <c r="C61" s="211"/>
      <c r="D61" s="211"/>
      <c r="E61" s="73"/>
      <c r="F61" s="36"/>
      <c r="G61" s="209"/>
      <c r="H61" s="209"/>
      <c r="I61" s="211">
        <v>0</v>
      </c>
      <c r="J61" s="64"/>
      <c r="K61" s="65"/>
    </row>
    <row r="62" spans="1:11">
      <c r="A62" s="7" t="s">
        <v>50</v>
      </c>
      <c r="B62" s="289">
        <v>0.8</v>
      </c>
      <c r="C62" s="211">
        <v>1.034</v>
      </c>
      <c r="D62" s="211">
        <v>0.76500000000000001</v>
      </c>
      <c r="E62" s="73">
        <f t="shared" si="0"/>
        <v>-0.22630560928433263</v>
      </c>
      <c r="F62" s="36">
        <f t="shared" si="1"/>
        <v>4.5751633986928164E-2</v>
      </c>
      <c r="G62" s="209">
        <f>B62+May!G62</f>
        <v>6.1</v>
      </c>
      <c r="H62" s="209">
        <f>C62+May!H62</f>
        <v>6.4029999999999996</v>
      </c>
      <c r="I62" s="211">
        <v>5.45</v>
      </c>
      <c r="J62" s="64">
        <f t="shared" si="2"/>
        <v>-4.7321568014992987E-2</v>
      </c>
      <c r="K62" s="65">
        <f t="shared" si="3"/>
        <v>0.11926605504587151</v>
      </c>
    </row>
    <row r="63" spans="1:11">
      <c r="A63" s="7" t="s">
        <v>51</v>
      </c>
      <c r="B63" s="289">
        <v>0.2</v>
      </c>
      <c r="C63" s="211">
        <v>0.16200000000000001</v>
      </c>
      <c r="D63" s="211">
        <v>0.153</v>
      </c>
      <c r="E63" s="73">
        <f t="shared" si="0"/>
        <v>0.23456790123456783</v>
      </c>
      <c r="F63" s="36">
        <f t="shared" si="1"/>
        <v>0.30718954248366015</v>
      </c>
      <c r="G63" s="209">
        <f>B63+May!G63</f>
        <v>1.7</v>
      </c>
      <c r="H63" s="209">
        <f>C63+May!H63</f>
        <v>1.401</v>
      </c>
      <c r="I63" s="211">
        <v>1.5589999999999999</v>
      </c>
      <c r="J63" s="64">
        <f t="shared" si="2"/>
        <v>0.2134189864382583</v>
      </c>
      <c r="K63" s="65">
        <f t="shared" si="3"/>
        <v>9.0442591404746642E-2</v>
      </c>
    </row>
    <row r="64" spans="1:11">
      <c r="A64" s="7" t="s">
        <v>52</v>
      </c>
      <c r="B64" s="289">
        <v>0.7</v>
      </c>
      <c r="C64" s="211">
        <v>0.48199999999999998</v>
      </c>
      <c r="D64" s="211">
        <v>0.45500000000000002</v>
      </c>
      <c r="E64" s="73">
        <f t="shared" si="0"/>
        <v>0.4522821576763485</v>
      </c>
      <c r="F64" s="36">
        <f t="shared" si="1"/>
        <v>0.53846153846153832</v>
      </c>
      <c r="G64" s="209">
        <f>B64+May!G64</f>
        <v>8.4</v>
      </c>
      <c r="H64" s="209">
        <f>C64+May!H64</f>
        <v>6.71</v>
      </c>
      <c r="I64" s="211">
        <v>5.399</v>
      </c>
      <c r="J64" s="64">
        <f t="shared" si="2"/>
        <v>0.25186289120715366</v>
      </c>
      <c r="K64" s="65">
        <f t="shared" si="3"/>
        <v>0.55584367475458429</v>
      </c>
    </row>
    <row r="65" spans="1:11">
      <c r="A65" s="7" t="s">
        <v>53</v>
      </c>
      <c r="B65" s="289">
        <v>0.8</v>
      </c>
      <c r="C65" s="211">
        <v>0.48399999999999999</v>
      </c>
      <c r="D65" s="211">
        <v>0.34499999999999997</v>
      </c>
      <c r="E65" s="73">
        <f t="shared" si="0"/>
        <v>0.65289256198347112</v>
      </c>
      <c r="F65" s="36">
        <f t="shared" si="1"/>
        <v>1.3188405797101455</v>
      </c>
      <c r="G65" s="209">
        <f>B65+May!G65</f>
        <v>6.1000000000000005</v>
      </c>
      <c r="H65" s="209">
        <f>C65+May!H65</f>
        <v>3.1890000000000001</v>
      </c>
      <c r="I65" s="211">
        <v>2.984</v>
      </c>
      <c r="J65" s="64">
        <f t="shared" si="2"/>
        <v>0.91282533709626845</v>
      </c>
      <c r="K65" s="65">
        <f t="shared" si="3"/>
        <v>1.044235924932976</v>
      </c>
    </row>
    <row r="66" spans="1:11">
      <c r="A66" s="2"/>
      <c r="B66" s="289"/>
      <c r="C66" s="211"/>
      <c r="D66" s="211"/>
      <c r="E66" s="73"/>
      <c r="F66" s="36"/>
      <c r="G66" s="209"/>
      <c r="H66" s="209"/>
      <c r="I66" s="211">
        <v>0</v>
      </c>
      <c r="J66" s="64"/>
      <c r="K66" s="65"/>
    </row>
    <row r="67" spans="1:11">
      <c r="A67" s="7" t="s">
        <v>54</v>
      </c>
      <c r="B67" s="289">
        <v>5</v>
      </c>
      <c r="C67" s="211">
        <v>2.8759999999999999</v>
      </c>
      <c r="D67" s="211">
        <v>3.532</v>
      </c>
      <c r="E67" s="73">
        <f t="shared" si="0"/>
        <v>0.73852573018080681</v>
      </c>
      <c r="F67" s="36">
        <f t="shared" si="1"/>
        <v>0.41562853907134767</v>
      </c>
      <c r="G67" s="209">
        <f>B67+May!G67</f>
        <v>38.200000000000003</v>
      </c>
      <c r="H67" s="209">
        <f>C67+May!H67</f>
        <v>27.231999999999999</v>
      </c>
      <c r="I67" s="211">
        <v>40.052999999999997</v>
      </c>
      <c r="J67" s="64">
        <f t="shared" si="2"/>
        <v>0.40276145710928324</v>
      </c>
      <c r="K67" s="65">
        <f t="shared" si="3"/>
        <v>-4.6263700596709256E-2</v>
      </c>
    </row>
    <row r="68" spans="1:11">
      <c r="A68" s="7" t="s">
        <v>55</v>
      </c>
      <c r="B68" s="289">
        <v>1.7</v>
      </c>
      <c r="C68" s="211">
        <v>1.238</v>
      </c>
      <c r="D68" s="211">
        <v>1.3440000000000001</v>
      </c>
      <c r="E68" s="73">
        <f t="shared" si="0"/>
        <v>0.37318255250403864</v>
      </c>
      <c r="F68" s="36">
        <f t="shared" si="1"/>
        <v>0.26488095238095233</v>
      </c>
      <c r="G68" s="209">
        <f>B68+May!G68</f>
        <v>10.399999999999999</v>
      </c>
      <c r="H68" s="209">
        <f>C68+May!H68</f>
        <v>8.0759999999999987</v>
      </c>
      <c r="I68" s="211">
        <v>8.6029999999999998</v>
      </c>
      <c r="J68" s="64">
        <f t="shared" si="2"/>
        <v>0.28776622090143644</v>
      </c>
      <c r="K68" s="65">
        <f t="shared" si="3"/>
        <v>0.20888062303847477</v>
      </c>
    </row>
    <row r="69" spans="1:11">
      <c r="A69" s="7" t="s">
        <v>56</v>
      </c>
      <c r="B69" s="289">
        <v>0.6</v>
      </c>
      <c r="C69" s="211">
        <v>0.28499999999999998</v>
      </c>
      <c r="D69" s="211">
        <v>0.32400000000000001</v>
      </c>
      <c r="E69" s="73">
        <f t="shared" si="0"/>
        <v>1.1052631578947367</v>
      </c>
      <c r="F69" s="36">
        <f t="shared" si="1"/>
        <v>0.85185185185185164</v>
      </c>
      <c r="G69" s="209">
        <f>B69+May!G69</f>
        <v>2.8</v>
      </c>
      <c r="H69" s="209">
        <f>C69+May!H69</f>
        <v>2.0369999999999999</v>
      </c>
      <c r="I69" s="211">
        <v>1.748</v>
      </c>
      <c r="J69" s="64">
        <f t="shared" si="2"/>
        <v>0.37457044673539519</v>
      </c>
      <c r="K69" s="65">
        <f t="shared" si="3"/>
        <v>0.60183066361556059</v>
      </c>
    </row>
    <row r="70" spans="1:11">
      <c r="A70" s="7" t="s">
        <v>88</v>
      </c>
      <c r="B70" s="289">
        <v>0.3</v>
      </c>
      <c r="C70" s="211">
        <v>0.13500000000000001</v>
      </c>
      <c r="D70" s="211">
        <v>0.11600000000000001</v>
      </c>
      <c r="E70" s="73">
        <f t="shared" ref="E70:E96" si="4">B70/C70-1</f>
        <v>1.2222222222222219</v>
      </c>
      <c r="F70" s="36">
        <f t="shared" ref="F70:F96" si="5">B70/D70-1</f>
        <v>1.5862068965517238</v>
      </c>
      <c r="G70" s="209">
        <f>B70+May!G70</f>
        <v>1.2999999999999998</v>
      </c>
      <c r="H70" s="209">
        <f>C70+May!H70</f>
        <v>0.99399999999999999</v>
      </c>
      <c r="I70" s="211">
        <v>2.8809999999999998</v>
      </c>
      <c r="J70" s="64">
        <f t="shared" ref="J70:J96" si="6">G70/H70-1</f>
        <v>0.30784708249496973</v>
      </c>
      <c r="K70" s="65">
        <f t="shared" ref="K70:K96" si="7">G70/I70-1</f>
        <v>-0.54876778896216594</v>
      </c>
    </row>
    <row r="71" spans="1:11">
      <c r="A71" s="7" t="s">
        <v>89</v>
      </c>
      <c r="B71" s="289">
        <v>0.4</v>
      </c>
      <c r="C71" s="211">
        <v>0.27100000000000002</v>
      </c>
      <c r="D71" s="211">
        <v>0.38300000000000001</v>
      </c>
      <c r="E71" s="73">
        <f t="shared" si="4"/>
        <v>0.47601476014760147</v>
      </c>
      <c r="F71" s="36">
        <f t="shared" si="5"/>
        <v>4.4386422976501416E-2</v>
      </c>
      <c r="G71" s="209">
        <f>B71+May!G71</f>
        <v>3.1</v>
      </c>
      <c r="H71" s="209">
        <f>C71+May!H71</f>
        <v>2.2250000000000001</v>
      </c>
      <c r="I71" s="211">
        <v>1.248</v>
      </c>
      <c r="J71" s="64">
        <f t="shared" si="6"/>
        <v>0.39325842696629221</v>
      </c>
      <c r="K71" s="65">
        <f t="shared" si="7"/>
        <v>1.483974358974359</v>
      </c>
    </row>
    <row r="72" spans="1:11">
      <c r="A72" s="7" t="s">
        <v>59</v>
      </c>
      <c r="B72" s="289">
        <v>4.2</v>
      </c>
      <c r="C72" s="211">
        <v>2.5379999999999998</v>
      </c>
      <c r="D72" s="211">
        <v>2.1440000000000001</v>
      </c>
      <c r="E72" s="73">
        <f t="shared" si="4"/>
        <v>0.6548463356973997</v>
      </c>
      <c r="F72" s="36">
        <f t="shared" si="5"/>
        <v>0.95895522388059695</v>
      </c>
      <c r="G72" s="209">
        <f>B72+May!G72</f>
        <v>37</v>
      </c>
      <c r="H72" s="209">
        <f>C72+May!H72</f>
        <v>23.728999999999999</v>
      </c>
      <c r="I72" s="211">
        <v>21.471</v>
      </c>
      <c r="J72" s="64">
        <f t="shared" si="6"/>
        <v>0.55927346285136337</v>
      </c>
      <c r="K72" s="65">
        <f t="shared" si="7"/>
        <v>0.72325462251408879</v>
      </c>
    </row>
    <row r="73" spans="1:11">
      <c r="A73" s="7" t="s">
        <v>60</v>
      </c>
      <c r="B73" s="289">
        <v>0.7</v>
      </c>
      <c r="C73" s="211">
        <v>0.51200000000000001</v>
      </c>
      <c r="D73" s="211">
        <v>0.62</v>
      </c>
      <c r="E73" s="73">
        <f t="shared" si="4"/>
        <v>0.36718749999999978</v>
      </c>
      <c r="F73" s="36">
        <f t="shared" si="5"/>
        <v>0.12903225806451601</v>
      </c>
      <c r="G73" s="209">
        <f>B73+May!G73</f>
        <v>5</v>
      </c>
      <c r="H73" s="209">
        <f>C73+May!H73</f>
        <v>3.7350000000000003</v>
      </c>
      <c r="I73" s="211">
        <v>4.8680000000000003</v>
      </c>
      <c r="J73" s="64">
        <f t="shared" si="6"/>
        <v>0.33868808567603748</v>
      </c>
      <c r="K73" s="65">
        <f t="shared" si="7"/>
        <v>2.7115858668857795E-2</v>
      </c>
    </row>
    <row r="74" spans="1:11">
      <c r="A74" s="7" t="s">
        <v>61</v>
      </c>
      <c r="B74" s="289">
        <v>1.7</v>
      </c>
      <c r="C74" s="211">
        <v>1.012</v>
      </c>
      <c r="D74" s="211">
        <v>0.98099999999999998</v>
      </c>
      <c r="E74" s="73">
        <f t="shared" si="4"/>
        <v>0.67984189723320143</v>
      </c>
      <c r="F74" s="36">
        <f t="shared" si="5"/>
        <v>0.73292558613659531</v>
      </c>
      <c r="G74" s="209">
        <f>B74+May!G74</f>
        <v>10.6</v>
      </c>
      <c r="H74" s="209">
        <f>C74+May!H74</f>
        <v>6.5500000000000007</v>
      </c>
      <c r="I74" s="211">
        <v>7.0830000000000002</v>
      </c>
      <c r="J74" s="64">
        <f t="shared" si="6"/>
        <v>0.61832061068702271</v>
      </c>
      <c r="K74" s="65">
        <f t="shared" si="7"/>
        <v>0.49654101369476211</v>
      </c>
    </row>
    <row r="75" spans="1:11">
      <c r="A75" s="7" t="s">
        <v>62</v>
      </c>
      <c r="B75" s="289">
        <v>0.7</v>
      </c>
      <c r="C75" s="211">
        <v>0.42699999999999999</v>
      </c>
      <c r="D75" s="211">
        <v>0.47499999999999998</v>
      </c>
      <c r="E75" s="73">
        <f t="shared" si="4"/>
        <v>0.63934426229508179</v>
      </c>
      <c r="F75" s="36">
        <f t="shared" si="5"/>
        <v>0.47368421052631571</v>
      </c>
      <c r="G75" s="209">
        <f>B75+May!G75</f>
        <v>7.4</v>
      </c>
      <c r="H75" s="209">
        <f>C75+May!H75</f>
        <v>3.9869999999999997</v>
      </c>
      <c r="I75" s="211">
        <v>4.952</v>
      </c>
      <c r="J75" s="64">
        <f t="shared" si="6"/>
        <v>0.85603210433910237</v>
      </c>
      <c r="K75" s="65">
        <f t="shared" si="7"/>
        <v>0.49434571890145396</v>
      </c>
    </row>
    <row r="76" spans="1:11">
      <c r="A76" s="7" t="s">
        <v>63</v>
      </c>
      <c r="B76" s="289">
        <v>2.5</v>
      </c>
      <c r="C76" s="211">
        <v>1.3360000000000001</v>
      </c>
      <c r="D76" s="211">
        <v>1.675</v>
      </c>
      <c r="E76" s="73">
        <f t="shared" si="4"/>
        <v>0.87125748502993994</v>
      </c>
      <c r="F76" s="36">
        <f t="shared" si="5"/>
        <v>0.49253731343283569</v>
      </c>
      <c r="G76" s="209">
        <f>B76+May!G76</f>
        <v>13.5</v>
      </c>
      <c r="H76" s="209">
        <f>C76+May!H76</f>
        <v>8.1859999999999999</v>
      </c>
      <c r="I76" s="211">
        <v>8.4109999999999996</v>
      </c>
      <c r="J76" s="64">
        <f t="shared" si="6"/>
        <v>0.64915709748350836</v>
      </c>
      <c r="K76" s="65">
        <f t="shared" si="7"/>
        <v>0.60504101771489727</v>
      </c>
    </row>
    <row r="77" spans="1:11">
      <c r="A77" s="7" t="s">
        <v>64</v>
      </c>
      <c r="B77" s="289">
        <v>0.7</v>
      </c>
      <c r="C77" s="211">
        <v>0.308</v>
      </c>
      <c r="D77" s="211">
        <v>0.25600000000000001</v>
      </c>
      <c r="E77" s="73">
        <f t="shared" si="4"/>
        <v>1.2727272727272725</v>
      </c>
      <c r="F77" s="36">
        <f t="shared" si="5"/>
        <v>1.7343749999999996</v>
      </c>
      <c r="G77" s="209">
        <f>B77+May!G77</f>
        <v>3.0999999999999996</v>
      </c>
      <c r="H77" s="209">
        <f>C77+May!H77</f>
        <v>2.08</v>
      </c>
      <c r="I77" s="211">
        <v>2.153</v>
      </c>
      <c r="J77" s="64">
        <f t="shared" si="6"/>
        <v>0.4903846153846152</v>
      </c>
      <c r="K77" s="65">
        <f t="shared" si="7"/>
        <v>0.4398513701811424</v>
      </c>
    </row>
    <row r="78" spans="1:11">
      <c r="A78" s="7"/>
      <c r="B78" s="289"/>
      <c r="C78" s="211"/>
      <c r="D78" s="211"/>
      <c r="E78" s="73"/>
      <c r="F78" s="36"/>
      <c r="G78" s="209"/>
      <c r="H78" s="209"/>
      <c r="I78" s="211">
        <v>0</v>
      </c>
      <c r="J78" s="64"/>
      <c r="K78" s="65"/>
    </row>
    <row r="79" spans="1:11">
      <c r="A79" s="7" t="s">
        <v>65</v>
      </c>
      <c r="B79" s="289">
        <f>SUM(B80:B83)</f>
        <v>112.9</v>
      </c>
      <c r="C79" s="211">
        <v>83.742000000000004</v>
      </c>
      <c r="D79" s="211">
        <v>86.870999999999995</v>
      </c>
      <c r="E79" s="73">
        <f t="shared" si="4"/>
        <v>0.34818848367605271</v>
      </c>
      <c r="F79" s="36">
        <f t="shared" si="5"/>
        <v>0.29962818431927807</v>
      </c>
      <c r="G79" s="209">
        <f>B79+May!G79</f>
        <v>508.6</v>
      </c>
      <c r="H79" s="209">
        <f>C79+May!H79</f>
        <v>418.75399999999996</v>
      </c>
      <c r="I79" s="211">
        <v>424.51600000000002</v>
      </c>
      <c r="J79" s="64">
        <f t="shared" si="6"/>
        <v>0.21455556245432894</v>
      </c>
      <c r="K79" s="65">
        <f t="shared" si="7"/>
        <v>0.19807027296968793</v>
      </c>
    </row>
    <row r="80" spans="1:11">
      <c r="A80" s="7" t="s">
        <v>66</v>
      </c>
      <c r="B80" s="289">
        <v>90.2</v>
      </c>
      <c r="C80" s="211">
        <v>69.174999999999997</v>
      </c>
      <c r="D80" s="211">
        <v>70.081000000000003</v>
      </c>
      <c r="E80" s="73">
        <f t="shared" si="4"/>
        <v>0.30393928442356355</v>
      </c>
      <c r="F80" s="36">
        <f t="shared" si="5"/>
        <v>0.28708209072359137</v>
      </c>
      <c r="G80" s="209">
        <f>B80+May!G80</f>
        <v>400.3</v>
      </c>
      <c r="H80" s="209">
        <f>C80+May!H80</f>
        <v>333.99900000000002</v>
      </c>
      <c r="I80" s="211">
        <v>327.27699999999999</v>
      </c>
      <c r="J80" s="64">
        <f t="shared" si="6"/>
        <v>0.19850658235503693</v>
      </c>
      <c r="K80" s="65">
        <f t="shared" si="7"/>
        <v>0.2231229203396512</v>
      </c>
    </row>
    <row r="81" spans="1:11">
      <c r="A81" s="7" t="s">
        <v>67</v>
      </c>
      <c r="B81" s="289">
        <v>6.9</v>
      </c>
      <c r="C81" s="211">
        <v>5.4329999999999998</v>
      </c>
      <c r="D81" s="211">
        <v>5.9630000000000001</v>
      </c>
      <c r="E81" s="73">
        <f t="shared" si="4"/>
        <v>0.27001656543346231</v>
      </c>
      <c r="F81" s="36">
        <f t="shared" si="5"/>
        <v>0.15713566996478279</v>
      </c>
      <c r="G81" s="209">
        <f>B81+May!G81</f>
        <v>38.699999999999996</v>
      </c>
      <c r="H81" s="209">
        <f>C81+May!H81</f>
        <v>31.843000000000004</v>
      </c>
      <c r="I81" s="211">
        <v>33.103999999999999</v>
      </c>
      <c r="J81" s="64">
        <f t="shared" si="6"/>
        <v>0.21533775084005868</v>
      </c>
      <c r="K81" s="65">
        <f t="shared" si="7"/>
        <v>0.16904301594973403</v>
      </c>
    </row>
    <row r="82" spans="1:11">
      <c r="A82" s="7" t="s">
        <v>68</v>
      </c>
      <c r="B82" s="289">
        <v>2.7</v>
      </c>
      <c r="C82" s="211">
        <v>1.762</v>
      </c>
      <c r="D82" s="211">
        <v>1.96</v>
      </c>
      <c r="E82" s="73">
        <f t="shared" si="4"/>
        <v>0.5323496027241772</v>
      </c>
      <c r="F82" s="36">
        <f t="shared" si="5"/>
        <v>0.37755102040816335</v>
      </c>
      <c r="G82" s="209">
        <f>B82+May!G82</f>
        <v>11.399999999999999</v>
      </c>
      <c r="H82" s="209">
        <f>C82+May!H82</f>
        <v>8.6809999999999992</v>
      </c>
      <c r="I82" s="211">
        <v>10.004</v>
      </c>
      <c r="J82" s="64">
        <f t="shared" si="6"/>
        <v>0.31321276350650851</v>
      </c>
      <c r="K82" s="65">
        <f t="shared" si="7"/>
        <v>0.13954418232706911</v>
      </c>
    </row>
    <row r="83" spans="1:11">
      <c r="A83" s="7" t="s">
        <v>69</v>
      </c>
      <c r="B83" s="289">
        <f>SUM(B84:B89)+1.6+1.1</f>
        <v>13.099999999999998</v>
      </c>
      <c r="C83" s="211">
        <v>7.3719999999999999</v>
      </c>
      <c r="D83" s="211">
        <v>8.8670000000000009</v>
      </c>
      <c r="E83" s="73">
        <f t="shared" si="4"/>
        <v>0.77699403147042845</v>
      </c>
      <c r="F83" s="36">
        <f t="shared" si="5"/>
        <v>0.47738806811773959</v>
      </c>
      <c r="G83" s="209">
        <f>B83+May!G83</f>
        <v>65.5</v>
      </c>
      <c r="H83" s="209">
        <f>C83+May!H83</f>
        <v>44.231000000000002</v>
      </c>
      <c r="I83" s="211">
        <v>54.131</v>
      </c>
      <c r="J83" s="64">
        <f t="shared" si="6"/>
        <v>0.48086183898170964</v>
      </c>
      <c r="K83" s="65">
        <f t="shared" si="7"/>
        <v>0.21002752581699946</v>
      </c>
    </row>
    <row r="84" spans="1:11">
      <c r="A84" s="7" t="s">
        <v>70</v>
      </c>
      <c r="B84" s="289">
        <v>0.7</v>
      </c>
      <c r="C84" s="211">
        <v>0.248</v>
      </c>
      <c r="D84" s="211">
        <v>0.35299999999999998</v>
      </c>
      <c r="E84" s="73">
        <f t="shared" si="4"/>
        <v>1.82258064516129</v>
      </c>
      <c r="F84" s="36">
        <f t="shared" si="5"/>
        <v>0.98300283286118972</v>
      </c>
      <c r="G84" s="209">
        <f>B84+May!G84</f>
        <v>2</v>
      </c>
      <c r="H84" s="209">
        <f>C84+May!H84</f>
        <v>1.3840000000000001</v>
      </c>
      <c r="I84" s="211">
        <v>1.57</v>
      </c>
      <c r="J84" s="64">
        <f t="shared" si="6"/>
        <v>0.44508670520231197</v>
      </c>
      <c r="K84" s="65">
        <f t="shared" si="7"/>
        <v>0.27388535031847128</v>
      </c>
    </row>
    <row r="85" spans="1:11">
      <c r="A85" s="7" t="s">
        <v>71</v>
      </c>
      <c r="B85" s="289">
        <v>2.1</v>
      </c>
      <c r="C85" s="211">
        <v>1.52</v>
      </c>
      <c r="D85" s="211">
        <v>1.7649999999999999</v>
      </c>
      <c r="E85" s="73">
        <f t="shared" si="4"/>
        <v>0.38157894736842102</v>
      </c>
      <c r="F85" s="36">
        <f t="shared" si="5"/>
        <v>0.18980169971671401</v>
      </c>
      <c r="G85" s="209">
        <f>B85+May!G85</f>
        <v>17.3</v>
      </c>
      <c r="H85" s="209">
        <f>C85+May!H85</f>
        <v>13.718</v>
      </c>
      <c r="I85" s="211">
        <v>13.237</v>
      </c>
      <c r="J85" s="64">
        <f t="shared" si="6"/>
        <v>0.26111678087184731</v>
      </c>
      <c r="K85" s="65">
        <f t="shared" si="7"/>
        <v>0.30694266072372889</v>
      </c>
    </row>
    <row r="86" spans="1:11">
      <c r="A86" s="7" t="s">
        <v>72</v>
      </c>
      <c r="B86" s="289">
        <v>5.4</v>
      </c>
      <c r="C86" s="211">
        <v>2.641</v>
      </c>
      <c r="D86" s="211">
        <v>3.6419999999999999</v>
      </c>
      <c r="E86" s="73">
        <f t="shared" si="4"/>
        <v>1.0446800454373344</v>
      </c>
      <c r="F86" s="36">
        <f t="shared" si="5"/>
        <v>0.48270181219110397</v>
      </c>
      <c r="G86" s="209">
        <f>B86+May!G86</f>
        <v>24.799999999999997</v>
      </c>
      <c r="H86" s="209">
        <f>C86+May!H86</f>
        <v>14.054</v>
      </c>
      <c r="I86" s="211">
        <v>22.812000000000001</v>
      </c>
      <c r="J86" s="64">
        <f t="shared" si="6"/>
        <v>0.76462217162373669</v>
      </c>
      <c r="K86" s="65">
        <f t="shared" si="7"/>
        <v>8.7147115553217525E-2</v>
      </c>
    </row>
    <row r="87" spans="1:11">
      <c r="A87" s="7" t="s">
        <v>73</v>
      </c>
      <c r="B87" s="289">
        <v>0.6</v>
      </c>
      <c r="C87" s="211">
        <v>0.40300000000000002</v>
      </c>
      <c r="D87" s="211">
        <v>0.41</v>
      </c>
      <c r="E87" s="73">
        <f t="shared" si="4"/>
        <v>0.48883374689826287</v>
      </c>
      <c r="F87" s="36">
        <f t="shared" si="5"/>
        <v>0.46341463414634143</v>
      </c>
      <c r="G87" s="209">
        <f>B87+May!G87</f>
        <v>3.9</v>
      </c>
      <c r="H87" s="209">
        <f>C87+May!H87</f>
        <v>2.8809999999999998</v>
      </c>
      <c r="I87" s="211">
        <v>3.077</v>
      </c>
      <c r="J87" s="64">
        <f t="shared" si="6"/>
        <v>0.3536966331135023</v>
      </c>
      <c r="K87" s="65">
        <f t="shared" si="7"/>
        <v>0.26746831329216758</v>
      </c>
    </row>
    <row r="88" spans="1:11">
      <c r="A88" s="7" t="s">
        <v>74</v>
      </c>
      <c r="B88" s="289">
        <v>1.5</v>
      </c>
      <c r="C88" s="211">
        <v>0.85099999999999998</v>
      </c>
      <c r="D88" s="211">
        <v>0.91400000000000003</v>
      </c>
      <c r="E88" s="73">
        <f t="shared" si="4"/>
        <v>0.76263219741480626</v>
      </c>
      <c r="F88" s="36">
        <f t="shared" si="5"/>
        <v>0.64113785557986858</v>
      </c>
      <c r="G88" s="209">
        <f>B88+May!G88</f>
        <v>5.2</v>
      </c>
      <c r="H88" s="209">
        <f>C88+May!H88</f>
        <v>3.4000000000000004</v>
      </c>
      <c r="I88" s="211">
        <v>4.0730000000000004</v>
      </c>
      <c r="J88" s="64">
        <f t="shared" si="6"/>
        <v>0.52941176470588225</v>
      </c>
      <c r="K88" s="65">
        <f t="shared" si="7"/>
        <v>0.27670022096734592</v>
      </c>
    </row>
    <row r="89" spans="1:11">
      <c r="A89" s="7" t="s">
        <v>75</v>
      </c>
      <c r="B89" s="289">
        <v>0.1</v>
      </c>
      <c r="C89" s="211">
        <v>9.5000000000000001E-2</v>
      </c>
      <c r="D89" s="211">
        <v>0.13700000000000001</v>
      </c>
      <c r="E89" s="73">
        <f t="shared" si="4"/>
        <v>5.2631578947368363E-2</v>
      </c>
      <c r="F89" s="36">
        <f t="shared" si="5"/>
        <v>-0.27007299270072993</v>
      </c>
      <c r="G89" s="209">
        <f>B89+May!G89</f>
        <v>1.5000000000000004</v>
      </c>
      <c r="H89" s="209">
        <f>C89+May!H89</f>
        <v>0.499</v>
      </c>
      <c r="I89" s="211">
        <v>0.60399999999999998</v>
      </c>
      <c r="J89" s="64">
        <f t="shared" si="6"/>
        <v>2.006012024048097</v>
      </c>
      <c r="K89" s="65">
        <f t="shared" si="7"/>
        <v>1.4834437086092724</v>
      </c>
    </row>
    <row r="90" spans="1:11">
      <c r="A90" s="7"/>
      <c r="B90" s="289"/>
      <c r="C90" s="211"/>
      <c r="D90" s="211"/>
      <c r="E90" s="73"/>
      <c r="F90" s="36"/>
      <c r="G90" s="209"/>
      <c r="H90" s="209"/>
      <c r="I90" s="211">
        <v>0</v>
      </c>
      <c r="J90" s="64"/>
      <c r="K90" s="65"/>
    </row>
    <row r="91" spans="1:11">
      <c r="A91" s="7" t="s">
        <v>76</v>
      </c>
      <c r="B91" s="289">
        <f>SUM(B92:B94)</f>
        <v>4.8</v>
      </c>
      <c r="C91" s="211">
        <v>3.355</v>
      </c>
      <c r="D91" s="211">
        <v>3.657</v>
      </c>
      <c r="E91" s="73">
        <f t="shared" si="4"/>
        <v>0.43070044709388977</v>
      </c>
      <c r="F91" s="36">
        <f t="shared" si="5"/>
        <v>0.31255127153404416</v>
      </c>
      <c r="G91" s="209">
        <f>B91+May!G91</f>
        <v>20.3</v>
      </c>
      <c r="H91" s="209">
        <f>C91+May!H91</f>
        <v>15.257000000000001</v>
      </c>
      <c r="I91" s="211">
        <v>18.109000000000002</v>
      </c>
      <c r="J91" s="64">
        <f t="shared" si="6"/>
        <v>0.33053680277905206</v>
      </c>
      <c r="K91" s="65">
        <f t="shared" si="7"/>
        <v>0.12098956320061838</v>
      </c>
    </row>
    <row r="92" spans="1:11">
      <c r="A92" s="7" t="s">
        <v>77</v>
      </c>
      <c r="B92" s="289">
        <v>4.3</v>
      </c>
      <c r="C92" s="211">
        <v>2.9510000000000001</v>
      </c>
      <c r="D92" s="211">
        <v>3.254</v>
      </c>
      <c r="E92" s="73">
        <f t="shared" si="4"/>
        <v>0.45713317519484908</v>
      </c>
      <c r="F92" s="36">
        <f t="shared" si="5"/>
        <v>0.32145052243392747</v>
      </c>
      <c r="G92" s="209">
        <f>B92+May!G92</f>
        <v>17.899999999999999</v>
      </c>
      <c r="H92" s="209">
        <f>C92+May!H92</f>
        <v>13.308</v>
      </c>
      <c r="I92" s="211">
        <v>15.805</v>
      </c>
      <c r="J92" s="64">
        <f t="shared" si="6"/>
        <v>0.34505560565073634</v>
      </c>
      <c r="K92" s="65">
        <f t="shared" si="7"/>
        <v>0.13255298956026573</v>
      </c>
    </row>
    <row r="93" spans="1:11">
      <c r="A93" s="7" t="s">
        <v>78</v>
      </c>
      <c r="B93" s="289">
        <v>0.4</v>
      </c>
      <c r="C93" s="211">
        <v>0.33100000000000002</v>
      </c>
      <c r="D93" s="211">
        <v>0.27200000000000002</v>
      </c>
      <c r="E93" s="73">
        <f t="shared" si="4"/>
        <v>0.2084592145015105</v>
      </c>
      <c r="F93" s="36">
        <f t="shared" si="5"/>
        <v>0.47058823529411753</v>
      </c>
      <c r="G93" s="209">
        <f>B93+May!G93</f>
        <v>1.9</v>
      </c>
      <c r="H93" s="209">
        <f>C93+May!H93</f>
        <v>1.629</v>
      </c>
      <c r="I93" s="211">
        <v>1.8149999999999999</v>
      </c>
      <c r="J93" s="64">
        <f t="shared" si="6"/>
        <v>0.16635972989564141</v>
      </c>
      <c r="K93" s="65">
        <f t="shared" si="7"/>
        <v>4.6831955922864932E-2</v>
      </c>
    </row>
    <row r="94" spans="1:11">
      <c r="A94" s="7" t="s">
        <v>19</v>
      </c>
      <c r="B94" s="289">
        <v>0.1</v>
      </c>
      <c r="C94" s="211">
        <v>7.2999999999999995E-2</v>
      </c>
      <c r="D94" s="211">
        <v>0.13100000000000001</v>
      </c>
      <c r="E94" s="73">
        <f t="shared" si="4"/>
        <v>0.36986301369863028</v>
      </c>
      <c r="F94" s="36">
        <f t="shared" si="5"/>
        <v>-0.23664122137404575</v>
      </c>
      <c r="G94" s="209">
        <f>B94+May!G94</f>
        <v>0.5</v>
      </c>
      <c r="H94" s="209">
        <f>C94+May!H94</f>
        <v>0.32</v>
      </c>
      <c r="I94" s="211">
        <v>0.48899999999999999</v>
      </c>
      <c r="J94" s="64">
        <f t="shared" si="6"/>
        <v>0.5625</v>
      </c>
      <c r="K94" s="65">
        <f t="shared" si="7"/>
        <v>2.249488752556239E-2</v>
      </c>
    </row>
    <row r="95" spans="1:11">
      <c r="A95" s="7"/>
      <c r="B95" s="289"/>
      <c r="C95" s="211"/>
      <c r="D95" s="211"/>
      <c r="E95" s="73"/>
      <c r="F95" s="36"/>
      <c r="G95" s="209"/>
      <c r="H95" s="209"/>
      <c r="I95" s="211">
        <v>0</v>
      </c>
      <c r="J95" s="64"/>
      <c r="K95" s="65"/>
    </row>
    <row r="96" spans="1:11" ht="13.5" thickBot="1">
      <c r="A96" s="9" t="s">
        <v>79</v>
      </c>
      <c r="B96" s="290">
        <v>1.1000000000000001</v>
      </c>
      <c r="C96" s="212">
        <v>1.0640000000000001</v>
      </c>
      <c r="D96" s="212">
        <v>0.876</v>
      </c>
      <c r="E96" s="74">
        <f t="shared" si="4"/>
        <v>3.383458646616555E-2</v>
      </c>
      <c r="F96" s="37">
        <f t="shared" si="5"/>
        <v>0.25570776255707783</v>
      </c>
      <c r="G96" s="209">
        <f>B96+May!G96</f>
        <v>4.5</v>
      </c>
      <c r="H96" s="209">
        <f>C96+May!H96</f>
        <v>5.1630000000000003</v>
      </c>
      <c r="I96" s="212">
        <v>5.524</v>
      </c>
      <c r="J96" s="66">
        <f t="shared" si="6"/>
        <v>-0.12841371295758286</v>
      </c>
      <c r="K96" s="67">
        <f t="shared" si="7"/>
        <v>-0.18537291817523538</v>
      </c>
    </row>
  </sheetData>
  <mergeCells count="4">
    <mergeCell ref="B3:D3"/>
    <mergeCell ref="E3:F3"/>
    <mergeCell ref="G3:I3"/>
    <mergeCell ref="J3:K3"/>
  </mergeCells>
  <conditionalFormatting sqref="E5:F96">
    <cfRule type="cellIs" dxfId="55" priority="5" operator="lessThan">
      <formula>0</formula>
    </cfRule>
    <cfRule type="cellIs" dxfId="54" priority="6" operator="greaterThan">
      <formula>0</formula>
    </cfRule>
    <cfRule type="cellIs" dxfId="53" priority="7" operator="greaterThan">
      <formula>0</formula>
    </cfRule>
    <cfRule type="cellIs" dxfId="52" priority="8" operator="lessThan">
      <formula>0</formula>
    </cfRule>
  </conditionalFormatting>
  <conditionalFormatting sqref="J5:K96">
    <cfRule type="cellIs" dxfId="51" priority="1" operator="lessThan">
      <formula>0</formula>
    </cfRule>
    <cfRule type="cellIs" dxfId="50" priority="2" operator="greaterThan">
      <formula>0</formula>
    </cfRule>
    <cfRule type="cellIs" dxfId="49" priority="3" operator="greaterThan">
      <formula>0</formula>
    </cfRule>
    <cfRule type="cellIs" dxfId="48" priority="4" operator="lessThan">
      <formula>0</formula>
    </cfRule>
  </conditionalFormatting>
  <pageMargins left="0.7" right="0.7" top="0.75" bottom="0.75" header="0.3" footer="0.3"/>
  <pageSetup paperSize="9" scale="87" orientation="portrait" r:id="rId1"/>
  <rowBreaks count="1" manualBreakCount="1">
    <brk id="5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96"/>
  <sheetViews>
    <sheetView zoomScaleNormal="100" workbookViewId="0">
      <selection activeCell="B4" sqref="B4"/>
    </sheetView>
  </sheetViews>
  <sheetFormatPr defaultColWidth="9" defaultRowHeight="12.75"/>
  <cols>
    <col min="1" max="1" width="26.28515625" style="38" customWidth="1"/>
    <col min="2" max="2" width="9.85546875" style="309" bestFit="1" customWidth="1"/>
    <col min="3" max="3" width="8.5703125" style="38" bestFit="1" customWidth="1"/>
    <col min="4" max="6" width="6.5703125" style="38" bestFit="1" customWidth="1"/>
    <col min="7" max="8" width="9" style="38" bestFit="1" customWidth="1"/>
    <col min="9" max="9" width="8" style="38" bestFit="1" customWidth="1"/>
    <col min="10" max="11" width="6.5703125" style="38" bestFit="1" customWidth="1"/>
    <col min="12" max="16384" width="9" style="38"/>
  </cols>
  <sheetData>
    <row r="1" spans="1:11">
      <c r="A1" s="8" t="s">
        <v>129</v>
      </c>
      <c r="B1" s="308"/>
      <c r="C1" s="62"/>
      <c r="D1" s="62"/>
      <c r="E1" s="62"/>
      <c r="F1" s="62"/>
      <c r="G1" s="62"/>
      <c r="H1" s="62"/>
      <c r="I1" s="62"/>
      <c r="J1" s="1"/>
    </row>
    <row r="2" spans="1:11" ht="13.5" thickBot="1">
      <c r="A2" s="1" t="s">
        <v>237</v>
      </c>
      <c r="C2" s="39"/>
      <c r="D2" s="39"/>
      <c r="G2" s="39"/>
      <c r="H2" s="39"/>
      <c r="I2" s="39"/>
    </row>
    <row r="3" spans="1:11" ht="13.5" thickBot="1">
      <c r="A3" s="10"/>
      <c r="B3" s="344" t="s">
        <v>98</v>
      </c>
      <c r="C3" s="345"/>
      <c r="D3" s="346"/>
      <c r="E3" s="341" t="s">
        <v>0</v>
      </c>
      <c r="F3" s="343"/>
      <c r="G3" s="344" t="s">
        <v>99</v>
      </c>
      <c r="H3" s="345"/>
      <c r="I3" s="346"/>
      <c r="J3" s="341" t="s">
        <v>0</v>
      </c>
      <c r="K3" s="343"/>
    </row>
    <row r="4" spans="1:11" ht="13.5" thickBot="1">
      <c r="A4" s="5"/>
      <c r="B4" s="291">
        <v>2017</v>
      </c>
      <c r="C4" s="83">
        <v>2016</v>
      </c>
      <c r="D4" s="84">
        <v>2015</v>
      </c>
      <c r="E4" s="21" t="s">
        <v>214</v>
      </c>
      <c r="F4" s="21" t="s">
        <v>215</v>
      </c>
      <c r="G4" s="124">
        <v>2017</v>
      </c>
      <c r="H4" s="124">
        <v>2016</v>
      </c>
      <c r="I4" s="125">
        <v>2015</v>
      </c>
      <c r="J4" s="21" t="s">
        <v>214</v>
      </c>
      <c r="K4" s="21" t="s">
        <v>215</v>
      </c>
    </row>
    <row r="5" spans="1:11">
      <c r="A5" s="7" t="s">
        <v>1</v>
      </c>
      <c r="B5" s="310">
        <f>B6+B27+B35+B79+B91+B96</f>
        <v>271.09999999999997</v>
      </c>
      <c r="C5" s="213">
        <v>232.018</v>
      </c>
      <c r="D5" s="227">
        <v>244.977</v>
      </c>
      <c r="E5" s="76">
        <f>B5/C5-1</f>
        <v>0.16844382763406274</v>
      </c>
      <c r="F5" s="70">
        <f>B5/D5-1</f>
        <v>0.10663450038166822</v>
      </c>
      <c r="G5" s="233">
        <f>B5+Jun!G5</f>
        <v>2007.3000000000002</v>
      </c>
      <c r="H5" s="233">
        <f>C5+Jun!H5</f>
        <v>1615.21</v>
      </c>
      <c r="I5" s="230">
        <v>1878.943</v>
      </c>
      <c r="J5" s="76">
        <f>G5/H5-1</f>
        <v>0.24274862092235683</v>
      </c>
      <c r="K5" s="18">
        <f>G5/I5-1</f>
        <v>6.8313408123610087E-2</v>
      </c>
    </row>
    <row r="6" spans="1:11">
      <c r="A6" s="7" t="s">
        <v>2</v>
      </c>
      <c r="B6" s="217">
        <f>B8+B21+B58+B59+B60+B62</f>
        <v>26.9</v>
      </c>
      <c r="C6" s="215">
        <v>21.937000000000001</v>
      </c>
      <c r="D6" s="228">
        <v>17.183</v>
      </c>
      <c r="E6" s="73">
        <f t="shared" ref="E6:E69" si="0">B6/C6-1</f>
        <v>0.22623877467292686</v>
      </c>
      <c r="F6" s="71">
        <f t="shared" ref="F6:F69" si="1">B6/D6-1</f>
        <v>0.56550078566024542</v>
      </c>
      <c r="G6" s="234">
        <f>B6+Jun!G6</f>
        <v>245.9</v>
      </c>
      <c r="H6" s="234">
        <f>C6+Jun!H6</f>
        <v>164.74900000000002</v>
      </c>
      <c r="I6" s="231">
        <v>158.69800000000001</v>
      </c>
      <c r="J6" s="73">
        <f t="shared" ref="J6:J69" si="2">G6/H6-1</f>
        <v>0.49257355128103941</v>
      </c>
      <c r="K6" s="40">
        <f t="shared" ref="K6:K69" si="3">G6/I6-1</f>
        <v>0.54948392544329483</v>
      </c>
    </row>
    <row r="7" spans="1:11">
      <c r="A7" s="7"/>
      <c r="B7" s="217"/>
      <c r="C7" s="215"/>
      <c r="D7" s="228"/>
      <c r="E7" s="73"/>
      <c r="F7" s="71"/>
      <c r="G7" s="234"/>
      <c r="H7" s="234"/>
      <c r="I7" s="231">
        <v>0</v>
      </c>
      <c r="J7" s="73"/>
      <c r="K7" s="40"/>
    </row>
    <row r="8" spans="1:11">
      <c r="A8" s="7" t="s">
        <v>3</v>
      </c>
      <c r="B8" s="217">
        <f>SUM(B9:B19)</f>
        <v>17.899999999999999</v>
      </c>
      <c r="C8" s="215">
        <v>14.805</v>
      </c>
      <c r="D8" s="228">
        <v>10.157999999999999</v>
      </c>
      <c r="E8" s="73">
        <f t="shared" si="0"/>
        <v>0.20905099628503887</v>
      </c>
      <c r="F8" s="71">
        <f t="shared" si="1"/>
        <v>0.76215790509942893</v>
      </c>
      <c r="G8" s="234">
        <f>B8+Jun!G8</f>
        <v>185.00000000000003</v>
      </c>
      <c r="H8" s="234">
        <f>C8+Jun!H8</f>
        <v>122.67500000000001</v>
      </c>
      <c r="I8" s="231">
        <v>111.11499999999999</v>
      </c>
      <c r="J8" s="73">
        <f t="shared" si="2"/>
        <v>0.50804972488282063</v>
      </c>
      <c r="K8" s="40">
        <f t="shared" si="3"/>
        <v>0.6649417270395539</v>
      </c>
    </row>
    <row r="9" spans="1:11">
      <c r="A9" s="7" t="s">
        <v>4</v>
      </c>
      <c r="B9" s="217">
        <v>2.4</v>
      </c>
      <c r="C9" s="215">
        <v>2.0419999999999998</v>
      </c>
      <c r="D9" s="228">
        <v>1.742</v>
      </c>
      <c r="E9" s="73">
        <f t="shared" si="0"/>
        <v>0.17531831537708142</v>
      </c>
      <c r="F9" s="71">
        <f t="shared" si="1"/>
        <v>0.3777267508610791</v>
      </c>
      <c r="G9" s="234">
        <f>B9+Jun!G9</f>
        <v>33.700000000000003</v>
      </c>
      <c r="H9" s="234">
        <f>C9+Jun!H9</f>
        <v>25.180999999999997</v>
      </c>
      <c r="I9" s="231">
        <v>25.529</v>
      </c>
      <c r="J9" s="73">
        <f t="shared" si="2"/>
        <v>0.3383106310313333</v>
      </c>
      <c r="K9" s="40">
        <f t="shared" si="3"/>
        <v>0.32006737435857269</v>
      </c>
    </row>
    <row r="10" spans="1:11">
      <c r="A10" s="7" t="s">
        <v>5</v>
      </c>
      <c r="B10" s="217">
        <v>0.2</v>
      </c>
      <c r="C10" s="215">
        <v>6.9000000000000006E-2</v>
      </c>
      <c r="D10" s="228">
        <v>5.2999999999999999E-2</v>
      </c>
      <c r="E10" s="73">
        <f t="shared" si="0"/>
        <v>1.8985507246376812</v>
      </c>
      <c r="F10" s="71">
        <f t="shared" si="1"/>
        <v>2.7735849056603779</v>
      </c>
      <c r="G10" s="234">
        <f>B10+Jun!G10</f>
        <v>4.0999999999999996</v>
      </c>
      <c r="H10" s="234">
        <f>C10+Jun!H10</f>
        <v>2.5870000000000002</v>
      </c>
      <c r="I10" s="231">
        <v>2.3940000000000001</v>
      </c>
      <c r="J10" s="73">
        <f t="shared" si="2"/>
        <v>0.58484731349052921</v>
      </c>
      <c r="K10" s="40">
        <f t="shared" si="3"/>
        <v>0.71261487050960715</v>
      </c>
    </row>
    <row r="11" spans="1:11">
      <c r="A11" s="7" t="s">
        <v>6</v>
      </c>
      <c r="B11" s="217">
        <v>1.2</v>
      </c>
      <c r="C11" s="215">
        <v>1.2</v>
      </c>
      <c r="D11" s="228">
        <v>1.4830000000000001</v>
      </c>
      <c r="E11" s="73">
        <f t="shared" si="0"/>
        <v>0</v>
      </c>
      <c r="F11" s="71">
        <f t="shared" si="1"/>
        <v>-0.19082939986513836</v>
      </c>
      <c r="G11" s="234">
        <f>B11+Jun!G11</f>
        <v>21.900000000000002</v>
      </c>
      <c r="H11" s="234">
        <f>C11+Jun!H11</f>
        <v>12.438000000000001</v>
      </c>
      <c r="I11" s="231">
        <v>13.231999999999999</v>
      </c>
      <c r="J11" s="73">
        <f t="shared" si="2"/>
        <v>0.76073323685479988</v>
      </c>
      <c r="K11" s="40">
        <f t="shared" si="3"/>
        <v>0.65507859733978258</v>
      </c>
    </row>
    <row r="12" spans="1:11">
      <c r="A12" s="7" t="s">
        <v>86</v>
      </c>
      <c r="B12" s="217">
        <v>0.9</v>
      </c>
      <c r="C12" s="215">
        <v>0.42399999999999999</v>
      </c>
      <c r="D12" s="228">
        <v>0.39700000000000002</v>
      </c>
      <c r="E12" s="73">
        <f t="shared" si="0"/>
        <v>1.1226415094339623</v>
      </c>
      <c r="F12" s="71">
        <f t="shared" si="1"/>
        <v>1.2670025188916876</v>
      </c>
      <c r="G12" s="234">
        <f>B12+Jun!G12</f>
        <v>4.7</v>
      </c>
      <c r="H12" s="234">
        <f>C12+Jun!H12</f>
        <v>2.7559999999999998</v>
      </c>
      <c r="I12" s="231">
        <v>2.8090000000000002</v>
      </c>
      <c r="J12" s="73">
        <f t="shared" si="2"/>
        <v>0.70537010159651681</v>
      </c>
      <c r="K12" s="40">
        <f t="shared" si="3"/>
        <v>0.67319330722677106</v>
      </c>
    </row>
    <row r="13" spans="1:11">
      <c r="A13" s="7" t="s">
        <v>8</v>
      </c>
      <c r="B13" s="217">
        <v>7.6</v>
      </c>
      <c r="C13" s="215">
        <v>6.4089999999999998</v>
      </c>
      <c r="D13" s="228">
        <v>3.0270000000000001</v>
      </c>
      <c r="E13" s="73">
        <f t="shared" si="0"/>
        <v>0.18583242315493842</v>
      </c>
      <c r="F13" s="71">
        <f t="shared" si="1"/>
        <v>1.5107367030062768</v>
      </c>
      <c r="G13" s="234">
        <f>B13+Jun!G13</f>
        <v>64.599999999999994</v>
      </c>
      <c r="H13" s="234">
        <f>C13+Jun!H13</f>
        <v>38.831999999999994</v>
      </c>
      <c r="I13" s="231">
        <v>28.050999999999998</v>
      </c>
      <c r="J13" s="73">
        <f t="shared" si="2"/>
        <v>0.66357643180881754</v>
      </c>
      <c r="K13" s="40">
        <f t="shared" si="3"/>
        <v>1.302948201490143</v>
      </c>
    </row>
    <row r="14" spans="1:11">
      <c r="A14" s="7" t="s">
        <v>9</v>
      </c>
      <c r="B14" s="217">
        <v>1.4</v>
      </c>
      <c r="C14" s="215">
        <v>0.95499999999999996</v>
      </c>
      <c r="D14" s="228">
        <v>0.57699999999999996</v>
      </c>
      <c r="E14" s="73">
        <f t="shared" si="0"/>
        <v>0.46596858638743455</v>
      </c>
      <c r="F14" s="71">
        <f t="shared" si="1"/>
        <v>1.4263431542461005</v>
      </c>
      <c r="G14" s="234">
        <f>B14+Jun!G14</f>
        <v>9.2999999999999989</v>
      </c>
      <c r="H14" s="234">
        <f>C14+Jun!H14</f>
        <v>6.2590000000000003</v>
      </c>
      <c r="I14" s="231">
        <v>6.6479999999999997</v>
      </c>
      <c r="J14" s="73">
        <f t="shared" si="2"/>
        <v>0.48586036108004449</v>
      </c>
      <c r="K14" s="40">
        <f t="shared" si="3"/>
        <v>0.39891696750902517</v>
      </c>
    </row>
    <row r="15" spans="1:11">
      <c r="A15" s="7" t="s">
        <v>10</v>
      </c>
      <c r="B15" s="217">
        <v>0.7</v>
      </c>
      <c r="C15" s="215">
        <v>0.34499999999999997</v>
      </c>
      <c r="D15" s="228">
        <v>0.35399999999999998</v>
      </c>
      <c r="E15" s="73">
        <f t="shared" si="0"/>
        <v>1.0289855072463769</v>
      </c>
      <c r="F15" s="71">
        <f t="shared" si="1"/>
        <v>0.97740112994350281</v>
      </c>
      <c r="G15" s="234">
        <f>B15+Jun!G15</f>
        <v>5.7000000000000011</v>
      </c>
      <c r="H15" s="234">
        <f>C15+Jun!H15</f>
        <v>3.6749999999999998</v>
      </c>
      <c r="I15" s="231">
        <v>3.9830000000000001</v>
      </c>
      <c r="J15" s="73">
        <f t="shared" si="2"/>
        <v>0.5510204081632657</v>
      </c>
      <c r="K15" s="40">
        <f t="shared" si="3"/>
        <v>0.43108209892041205</v>
      </c>
    </row>
    <row r="16" spans="1:11">
      <c r="A16" s="7" t="s">
        <v>11</v>
      </c>
      <c r="B16" s="217">
        <v>2</v>
      </c>
      <c r="C16" s="215">
        <v>1.9570000000000001</v>
      </c>
      <c r="D16" s="228">
        <v>1.399</v>
      </c>
      <c r="E16" s="73">
        <f t="shared" si="0"/>
        <v>2.197240674501777E-2</v>
      </c>
      <c r="F16" s="71">
        <f t="shared" si="1"/>
        <v>0.42959256611865615</v>
      </c>
      <c r="G16" s="234">
        <f>B16+Jun!G16</f>
        <v>24.1</v>
      </c>
      <c r="H16" s="234">
        <f>C16+Jun!H16</f>
        <v>18.382000000000001</v>
      </c>
      <c r="I16" s="231">
        <v>16.016999999999999</v>
      </c>
      <c r="J16" s="73">
        <f t="shared" si="2"/>
        <v>0.31106517245131093</v>
      </c>
      <c r="K16" s="40">
        <f t="shared" si="3"/>
        <v>0.5046513079852657</v>
      </c>
    </row>
    <row r="17" spans="1:11">
      <c r="A17" s="7" t="s">
        <v>12</v>
      </c>
      <c r="B17" s="217">
        <v>0.5</v>
      </c>
      <c r="C17" s="215">
        <v>0.44900000000000001</v>
      </c>
      <c r="D17" s="228">
        <v>0.35799999999999998</v>
      </c>
      <c r="E17" s="73">
        <f t="shared" si="0"/>
        <v>0.11358574610244987</v>
      </c>
      <c r="F17" s="71">
        <f t="shared" si="1"/>
        <v>0.3966480446927374</v>
      </c>
      <c r="G17" s="234">
        <f>B17+Jun!G17</f>
        <v>5.3999999999999995</v>
      </c>
      <c r="H17" s="234">
        <f>C17+Jun!H17</f>
        <v>4.9939999999999998</v>
      </c>
      <c r="I17" s="231">
        <v>4.7539999999999996</v>
      </c>
      <c r="J17" s="73">
        <f t="shared" si="2"/>
        <v>8.1297557068482185E-2</v>
      </c>
      <c r="K17" s="40">
        <f t="shared" si="3"/>
        <v>0.13588557004627688</v>
      </c>
    </row>
    <row r="18" spans="1:11">
      <c r="A18" s="7" t="s">
        <v>13</v>
      </c>
      <c r="B18" s="217">
        <v>0.2</v>
      </c>
      <c r="C18" s="215">
        <v>0.246</v>
      </c>
      <c r="D18" s="228">
        <v>0.23699999999999999</v>
      </c>
      <c r="E18" s="73">
        <f t="shared" si="0"/>
        <v>-0.18699186991869909</v>
      </c>
      <c r="F18" s="71">
        <f t="shared" si="1"/>
        <v>-0.15611814345991548</v>
      </c>
      <c r="G18" s="234">
        <f>B18+Jun!G18</f>
        <v>1.7</v>
      </c>
      <c r="H18" s="234">
        <f>C18+Jun!H18</f>
        <v>1.29</v>
      </c>
      <c r="I18" s="231">
        <v>1.597</v>
      </c>
      <c r="J18" s="73">
        <f t="shared" si="2"/>
        <v>0.31782945736434098</v>
      </c>
      <c r="K18" s="40">
        <f t="shared" si="3"/>
        <v>6.4495929868503499E-2</v>
      </c>
    </row>
    <row r="19" spans="1:11">
      <c r="A19" s="7" t="s">
        <v>14</v>
      </c>
      <c r="B19" s="217">
        <v>0.8</v>
      </c>
      <c r="C19" s="215">
        <v>0.70899999999999996</v>
      </c>
      <c r="D19" s="228">
        <v>0.53100000000000003</v>
      </c>
      <c r="E19" s="73">
        <f t="shared" si="0"/>
        <v>0.12834978843441469</v>
      </c>
      <c r="F19" s="71">
        <f t="shared" si="1"/>
        <v>0.50659133709981163</v>
      </c>
      <c r="G19" s="234">
        <f>B19+Jun!G19</f>
        <v>9.7999999999999989</v>
      </c>
      <c r="H19" s="234">
        <f>C19+Jun!H19</f>
        <v>6.2809999999999988</v>
      </c>
      <c r="I19" s="231">
        <v>6.101</v>
      </c>
      <c r="J19" s="73">
        <f t="shared" si="2"/>
        <v>0.56026110491959891</v>
      </c>
      <c r="K19" s="40">
        <f t="shared" si="3"/>
        <v>0.60629405015571192</v>
      </c>
    </row>
    <row r="20" spans="1:11">
      <c r="A20" s="7"/>
      <c r="B20" s="217"/>
      <c r="C20" s="215"/>
      <c r="D20" s="228"/>
      <c r="E20" s="73"/>
      <c r="F20" s="71"/>
      <c r="G20" s="234"/>
      <c r="H20" s="234"/>
      <c r="I20" s="231">
        <v>0</v>
      </c>
      <c r="J20" s="73"/>
      <c r="K20" s="40"/>
    </row>
    <row r="21" spans="1:11">
      <c r="A21" s="7" t="s">
        <v>15</v>
      </c>
      <c r="B21" s="217">
        <f>SUM(B22:B25)</f>
        <v>6.5</v>
      </c>
      <c r="C21" s="215">
        <v>7.1319999999999997</v>
      </c>
      <c r="D21" s="228">
        <v>7.0250000000000004</v>
      </c>
      <c r="E21" s="73">
        <f t="shared" si="0"/>
        <v>-8.861469433538971E-2</v>
      </c>
      <c r="F21" s="71">
        <f t="shared" si="1"/>
        <v>-7.4733096085409345E-2</v>
      </c>
      <c r="G21" s="234">
        <f>B21+Jun!G21</f>
        <v>46.2</v>
      </c>
      <c r="H21" s="234">
        <f>C21+Jun!H21</f>
        <v>42.073999999999991</v>
      </c>
      <c r="I21" s="231">
        <v>47.582999999999998</v>
      </c>
      <c r="J21" s="73">
        <f t="shared" si="2"/>
        <v>9.8065313495270479E-2</v>
      </c>
      <c r="K21" s="40">
        <f t="shared" si="3"/>
        <v>-2.9065002206670409E-2</v>
      </c>
    </row>
    <row r="22" spans="1:11">
      <c r="A22" s="7" t="s">
        <v>16</v>
      </c>
      <c r="B22" s="217">
        <v>0.5</v>
      </c>
      <c r="C22" s="215">
        <v>0.435</v>
      </c>
      <c r="D22" s="228">
        <v>0.34899999999999998</v>
      </c>
      <c r="E22" s="73">
        <f t="shared" si="0"/>
        <v>0.14942528735632177</v>
      </c>
      <c r="F22" s="71">
        <f t="shared" si="1"/>
        <v>0.43266475644699143</v>
      </c>
      <c r="G22" s="234">
        <f>B22+Jun!G22</f>
        <v>4.8000000000000007</v>
      </c>
      <c r="H22" s="234">
        <f>C22+Jun!H22</f>
        <v>3.3339999999999996</v>
      </c>
      <c r="I22" s="231">
        <v>3.6259999999999999</v>
      </c>
      <c r="J22" s="73">
        <f t="shared" si="2"/>
        <v>0.43971205758848275</v>
      </c>
      <c r="K22" s="40">
        <f t="shared" si="3"/>
        <v>0.32377275234418113</v>
      </c>
    </row>
    <row r="23" spans="1:11">
      <c r="A23" s="7" t="s">
        <v>17</v>
      </c>
      <c r="B23" s="217">
        <v>2.2999999999999998</v>
      </c>
      <c r="C23" s="215">
        <v>2.048</v>
      </c>
      <c r="D23" s="228">
        <v>1.784</v>
      </c>
      <c r="E23" s="73">
        <f t="shared" si="0"/>
        <v>0.123046875</v>
      </c>
      <c r="F23" s="71">
        <f t="shared" si="1"/>
        <v>0.28923766816143481</v>
      </c>
      <c r="G23" s="234">
        <f>B23+Jun!G23</f>
        <v>24.3</v>
      </c>
      <c r="H23" s="234">
        <f>C23+Jun!H23</f>
        <v>20.578000000000003</v>
      </c>
      <c r="I23" s="231">
        <v>18.992000000000001</v>
      </c>
      <c r="J23" s="73">
        <f t="shared" si="2"/>
        <v>0.18087277675187075</v>
      </c>
      <c r="K23" s="40">
        <f t="shared" si="3"/>
        <v>0.27948609941027791</v>
      </c>
    </row>
    <row r="24" spans="1:11">
      <c r="A24" s="7" t="s">
        <v>18</v>
      </c>
      <c r="B24" s="217">
        <v>2.6</v>
      </c>
      <c r="C24" s="215">
        <v>3.3959999999999999</v>
      </c>
      <c r="D24" s="228">
        <v>3.66</v>
      </c>
      <c r="E24" s="73">
        <f t="shared" si="0"/>
        <v>-0.23439340400471143</v>
      </c>
      <c r="F24" s="71">
        <f t="shared" si="1"/>
        <v>-0.2896174863387978</v>
      </c>
      <c r="G24" s="234">
        <f>B24+Jun!G24</f>
        <v>10.4</v>
      </c>
      <c r="H24" s="234">
        <f>C24+Jun!H24</f>
        <v>11.042999999999999</v>
      </c>
      <c r="I24" s="231">
        <v>15.903</v>
      </c>
      <c r="J24" s="73">
        <f t="shared" si="2"/>
        <v>-5.8226931087566713E-2</v>
      </c>
      <c r="K24" s="40">
        <f t="shared" si="3"/>
        <v>-0.34603533924416774</v>
      </c>
    </row>
    <row r="25" spans="1:11">
      <c r="A25" s="7" t="s">
        <v>19</v>
      </c>
      <c r="B25" s="217">
        <v>1.1000000000000001</v>
      </c>
      <c r="C25" s="215">
        <v>1.2529999999999999</v>
      </c>
      <c r="D25" s="228">
        <v>1.232</v>
      </c>
      <c r="E25" s="73">
        <f t="shared" si="0"/>
        <v>-0.12210694333599348</v>
      </c>
      <c r="F25" s="71">
        <f t="shared" si="1"/>
        <v>-0.1071428571428571</v>
      </c>
      <c r="G25" s="234">
        <f>B25+Jun!G25</f>
        <v>6.7000000000000011</v>
      </c>
      <c r="H25" s="234">
        <f>C25+Jun!H25</f>
        <v>7.1189999999999998</v>
      </c>
      <c r="I25" s="231">
        <v>9.0619999999999994</v>
      </c>
      <c r="J25" s="73">
        <f t="shared" si="2"/>
        <v>-5.8856580980474638E-2</v>
      </c>
      <c r="K25" s="40">
        <f t="shared" si="3"/>
        <v>-0.26064886338556592</v>
      </c>
    </row>
    <row r="26" spans="1:11">
      <c r="A26" s="7"/>
      <c r="B26" s="217"/>
      <c r="C26" s="215"/>
      <c r="D26" s="228"/>
      <c r="E26" s="73"/>
      <c r="F26" s="71"/>
      <c r="G26" s="234"/>
      <c r="H26" s="234"/>
      <c r="I26" s="231">
        <v>0</v>
      </c>
      <c r="J26" s="73"/>
      <c r="K26" s="40"/>
    </row>
    <row r="27" spans="1:11">
      <c r="A27" s="7" t="s">
        <v>20</v>
      </c>
      <c r="B27" s="217">
        <f>SUM(B28:B33)</f>
        <v>5.7</v>
      </c>
      <c r="C27" s="215">
        <v>4.101</v>
      </c>
      <c r="D27" s="228">
        <v>4.968</v>
      </c>
      <c r="E27" s="73">
        <f t="shared" si="0"/>
        <v>0.38990490124359911</v>
      </c>
      <c r="F27" s="71">
        <f t="shared" si="1"/>
        <v>0.14734299516908211</v>
      </c>
      <c r="G27" s="234">
        <f>B27+Jun!G27</f>
        <v>39.5</v>
      </c>
      <c r="H27" s="234">
        <f>C27+Jun!H27</f>
        <v>35.577000000000005</v>
      </c>
      <c r="I27" s="231">
        <v>41.578000000000003</v>
      </c>
      <c r="J27" s="73">
        <f t="shared" si="2"/>
        <v>0.11026786969109237</v>
      </c>
      <c r="K27" s="40">
        <f t="shared" si="3"/>
        <v>-4.9978353937178421E-2</v>
      </c>
    </row>
    <row r="28" spans="1:11">
      <c r="A28" s="7" t="s">
        <v>21</v>
      </c>
      <c r="B28" s="217">
        <v>2.7</v>
      </c>
      <c r="C28" s="215">
        <v>1.7390000000000001</v>
      </c>
      <c r="D28" s="228">
        <v>2.0840000000000001</v>
      </c>
      <c r="E28" s="73">
        <f t="shared" si="0"/>
        <v>0.55261644623346751</v>
      </c>
      <c r="F28" s="71">
        <f t="shared" si="1"/>
        <v>0.29558541266794625</v>
      </c>
      <c r="G28" s="234">
        <f>B28+Jun!G28</f>
        <v>14.3</v>
      </c>
      <c r="H28" s="234">
        <f>C28+Jun!H28</f>
        <v>11.128000000000002</v>
      </c>
      <c r="I28" s="231">
        <v>12.497999999999999</v>
      </c>
      <c r="J28" s="73">
        <f t="shared" si="2"/>
        <v>0.28504672897196248</v>
      </c>
      <c r="K28" s="40">
        <f t="shared" si="3"/>
        <v>0.1441830692910866</v>
      </c>
    </row>
    <row r="29" spans="1:11">
      <c r="A29" s="7" t="s">
        <v>22</v>
      </c>
      <c r="B29" s="217">
        <v>0.2</v>
      </c>
      <c r="C29" s="215">
        <v>0.186</v>
      </c>
      <c r="D29" s="228">
        <v>0.13400000000000001</v>
      </c>
      <c r="E29" s="73">
        <f t="shared" si="0"/>
        <v>7.526881720430123E-2</v>
      </c>
      <c r="F29" s="71">
        <f t="shared" si="1"/>
        <v>0.49253731343283591</v>
      </c>
      <c r="G29" s="234">
        <f>B29+Jun!G29</f>
        <v>6</v>
      </c>
      <c r="H29" s="234">
        <f>C29+Jun!H29</f>
        <v>7.93</v>
      </c>
      <c r="I29" s="231">
        <v>5.56</v>
      </c>
      <c r="J29" s="73">
        <f t="shared" si="2"/>
        <v>-0.24337957124842369</v>
      </c>
      <c r="K29" s="40">
        <f t="shared" si="3"/>
        <v>7.9136690647482189E-2</v>
      </c>
    </row>
    <row r="30" spans="1:11">
      <c r="A30" s="7" t="s">
        <v>23</v>
      </c>
      <c r="B30" s="217">
        <v>0.3</v>
      </c>
      <c r="C30" s="215">
        <v>0.26400000000000001</v>
      </c>
      <c r="D30" s="228">
        <v>0.378</v>
      </c>
      <c r="E30" s="73">
        <f t="shared" si="0"/>
        <v>0.13636363636363624</v>
      </c>
      <c r="F30" s="71">
        <f t="shared" si="1"/>
        <v>-0.20634920634920639</v>
      </c>
      <c r="G30" s="234">
        <f>B30+Jun!G30</f>
        <v>1.9000000000000001</v>
      </c>
      <c r="H30" s="234">
        <f>C30+Jun!H30</f>
        <v>1.728</v>
      </c>
      <c r="I30" s="231">
        <v>2.4769999999999999</v>
      </c>
      <c r="J30" s="73">
        <f t="shared" si="2"/>
        <v>9.9537037037037202E-2</v>
      </c>
      <c r="K30" s="40">
        <f t="shared" si="3"/>
        <v>-0.23294307630197808</v>
      </c>
    </row>
    <row r="31" spans="1:11">
      <c r="A31" s="6" t="s">
        <v>24</v>
      </c>
      <c r="B31" s="217">
        <v>0.4</v>
      </c>
      <c r="C31" s="215">
        <v>0.26500000000000001</v>
      </c>
      <c r="D31" s="228">
        <v>0.69899999999999995</v>
      </c>
      <c r="E31" s="73">
        <f t="shared" si="0"/>
        <v>0.50943396226415105</v>
      </c>
      <c r="F31" s="71">
        <f t="shared" si="1"/>
        <v>-0.42775393419170238</v>
      </c>
      <c r="G31" s="234">
        <f>B31+Jun!G31</f>
        <v>3.2999999999999994</v>
      </c>
      <c r="H31" s="234">
        <f>C31+Jun!H31</f>
        <v>2.9520000000000004</v>
      </c>
      <c r="I31" s="231">
        <v>6.3929999999999998</v>
      </c>
      <c r="J31" s="73">
        <f t="shared" si="2"/>
        <v>0.1178861788617882</v>
      </c>
      <c r="K31" s="40">
        <f t="shared" si="3"/>
        <v>-0.48381041764429855</v>
      </c>
    </row>
    <row r="32" spans="1:11">
      <c r="A32" s="6" t="s">
        <v>25</v>
      </c>
      <c r="B32" s="217">
        <v>0.4</v>
      </c>
      <c r="C32" s="215">
        <v>0.22500000000000001</v>
      </c>
      <c r="D32" s="228">
        <v>0.14899999999999999</v>
      </c>
      <c r="E32" s="73">
        <f t="shared" si="0"/>
        <v>0.7777777777777779</v>
      </c>
      <c r="F32" s="71">
        <f t="shared" si="1"/>
        <v>1.6845637583892619</v>
      </c>
      <c r="G32" s="234">
        <f>B32+Jun!G32</f>
        <v>2</v>
      </c>
      <c r="H32" s="234">
        <f>C32+Jun!H32</f>
        <v>1.639</v>
      </c>
      <c r="I32" s="231">
        <v>2.0680000000000001</v>
      </c>
      <c r="J32" s="73">
        <f t="shared" si="2"/>
        <v>0.22025625381330083</v>
      </c>
      <c r="K32" s="40">
        <f t="shared" si="3"/>
        <v>-3.2882011605415928E-2</v>
      </c>
    </row>
    <row r="33" spans="1:11">
      <c r="A33" s="7" t="s">
        <v>19</v>
      </c>
      <c r="B33" s="217">
        <v>1.7</v>
      </c>
      <c r="C33" s="215">
        <v>1.4219999999999999</v>
      </c>
      <c r="D33" s="228">
        <v>1.524</v>
      </c>
      <c r="E33" s="73">
        <f t="shared" si="0"/>
        <v>0.19549929676511968</v>
      </c>
      <c r="F33" s="71">
        <f t="shared" si="1"/>
        <v>0.11548556430446189</v>
      </c>
      <c r="G33" s="234">
        <f>B33+Jun!G33</f>
        <v>11.899999999999999</v>
      </c>
      <c r="H33" s="234">
        <f>C33+Jun!H33</f>
        <v>10.200000000000001</v>
      </c>
      <c r="I33" s="231">
        <v>12.582000000000001</v>
      </c>
      <c r="J33" s="73">
        <f t="shared" si="2"/>
        <v>0.1666666666666663</v>
      </c>
      <c r="K33" s="40">
        <f t="shared" si="3"/>
        <v>-5.4204419011286142E-2</v>
      </c>
    </row>
    <row r="34" spans="1:11">
      <c r="A34" s="2"/>
      <c r="B34" s="217"/>
      <c r="C34" s="215"/>
      <c r="D34" s="228"/>
      <c r="E34" s="73"/>
      <c r="F34" s="71"/>
      <c r="G34" s="234"/>
      <c r="H34" s="234"/>
      <c r="I34" s="231">
        <v>0</v>
      </c>
      <c r="J34" s="73"/>
      <c r="K34" s="40"/>
    </row>
    <row r="35" spans="1:11">
      <c r="A35" s="7" t="s">
        <v>26</v>
      </c>
      <c r="B35" s="311">
        <f>B36+SUM(B41:B51)+B54+B55+B56+B57+SUM(B63:B77)</f>
        <v>144.70000000000002</v>
      </c>
      <c r="C35" s="215">
        <v>127.74</v>
      </c>
      <c r="D35" s="228">
        <v>142.679</v>
      </c>
      <c r="E35" s="73">
        <f t="shared" si="0"/>
        <v>0.13276968842962278</v>
      </c>
      <c r="F35" s="71">
        <f t="shared" si="1"/>
        <v>1.4164663335179073E-2</v>
      </c>
      <c r="G35" s="234">
        <f>B35+Jun!G35</f>
        <v>1087.4000000000001</v>
      </c>
      <c r="H35" s="234">
        <f>C35+Jun!H35</f>
        <v>897.47</v>
      </c>
      <c r="I35" s="231">
        <v>1097.3019999999999</v>
      </c>
      <c r="J35" s="73">
        <f t="shared" si="2"/>
        <v>0.21162824384101975</v>
      </c>
      <c r="K35" s="40">
        <f t="shared" si="3"/>
        <v>-9.0239514737053828E-3</v>
      </c>
    </row>
    <row r="36" spans="1:11">
      <c r="A36" s="7" t="s">
        <v>27</v>
      </c>
      <c r="B36" s="217">
        <f>SUM(B37:B40)</f>
        <v>5.9</v>
      </c>
      <c r="C36" s="215">
        <v>4.7809999999999997</v>
      </c>
      <c r="D36" s="228">
        <v>5.915</v>
      </c>
      <c r="E36" s="73">
        <f t="shared" si="0"/>
        <v>0.23405145367078029</v>
      </c>
      <c r="F36" s="71">
        <f t="shared" si="1"/>
        <v>-2.5359256128486551E-3</v>
      </c>
      <c r="G36" s="234">
        <f>B36+Jun!G36</f>
        <v>42.1</v>
      </c>
      <c r="H36" s="234">
        <f>C36+Jun!H36</f>
        <v>38.112000000000002</v>
      </c>
      <c r="I36" s="231">
        <v>44.07</v>
      </c>
      <c r="J36" s="73">
        <f t="shared" si="2"/>
        <v>0.10463895885810248</v>
      </c>
      <c r="K36" s="40">
        <f t="shared" si="3"/>
        <v>-4.4701611073292513E-2</v>
      </c>
    </row>
    <row r="37" spans="1:11">
      <c r="A37" s="7" t="s">
        <v>28</v>
      </c>
      <c r="B37" s="217">
        <v>0.6</v>
      </c>
      <c r="C37" s="215">
        <v>0.53600000000000003</v>
      </c>
      <c r="D37" s="228">
        <v>0.51600000000000001</v>
      </c>
      <c r="E37" s="73">
        <f t="shared" si="0"/>
        <v>0.11940298507462677</v>
      </c>
      <c r="F37" s="71">
        <f t="shared" si="1"/>
        <v>0.16279069767441845</v>
      </c>
      <c r="G37" s="234">
        <f>B37+Jun!G37</f>
        <v>8.9</v>
      </c>
      <c r="H37" s="234">
        <f>C37+Jun!H37</f>
        <v>7.9649999999999999</v>
      </c>
      <c r="I37" s="231">
        <v>6.9859999999999998</v>
      </c>
      <c r="J37" s="73">
        <f t="shared" si="2"/>
        <v>0.11738857501569377</v>
      </c>
      <c r="K37" s="40">
        <f t="shared" si="3"/>
        <v>0.27397652447752652</v>
      </c>
    </row>
    <row r="38" spans="1:11">
      <c r="A38" s="7" t="s">
        <v>29</v>
      </c>
      <c r="B38" s="217">
        <v>2.2000000000000002</v>
      </c>
      <c r="C38" s="215">
        <v>1.6830000000000001</v>
      </c>
      <c r="D38" s="228">
        <v>1.972</v>
      </c>
      <c r="E38" s="73">
        <f t="shared" si="0"/>
        <v>0.30718954248366015</v>
      </c>
      <c r="F38" s="71">
        <f t="shared" si="1"/>
        <v>0.11561866125760667</v>
      </c>
      <c r="G38" s="234">
        <f>B38+Jun!G38</f>
        <v>14.8</v>
      </c>
      <c r="H38" s="234">
        <f>C38+Jun!H38</f>
        <v>12.422999999999998</v>
      </c>
      <c r="I38" s="231">
        <v>15.589</v>
      </c>
      <c r="J38" s="73">
        <f t="shared" si="2"/>
        <v>0.19133864605972817</v>
      </c>
      <c r="K38" s="40">
        <f t="shared" si="3"/>
        <v>-5.0612611456796408E-2</v>
      </c>
    </row>
    <row r="39" spans="1:11">
      <c r="A39" s="7" t="s">
        <v>30</v>
      </c>
      <c r="B39" s="217">
        <v>1.2</v>
      </c>
      <c r="C39" s="215">
        <v>0.90300000000000002</v>
      </c>
      <c r="D39" s="228">
        <v>1.1299999999999999</v>
      </c>
      <c r="E39" s="73">
        <f t="shared" si="0"/>
        <v>0.32890365448504966</v>
      </c>
      <c r="F39" s="71">
        <f t="shared" si="1"/>
        <v>6.1946902654867353E-2</v>
      </c>
      <c r="G39" s="234">
        <f>B39+Jun!G39</f>
        <v>7.3</v>
      </c>
      <c r="H39" s="234">
        <f>C39+Jun!H39</f>
        <v>6.907</v>
      </c>
      <c r="I39" s="231">
        <v>8.2409999999999997</v>
      </c>
      <c r="J39" s="73">
        <f t="shared" si="2"/>
        <v>5.6898798320544453E-2</v>
      </c>
      <c r="K39" s="40">
        <f t="shared" si="3"/>
        <v>-0.11418517170246323</v>
      </c>
    </row>
    <row r="40" spans="1:11">
      <c r="A40" s="7" t="s">
        <v>31</v>
      </c>
      <c r="B40" s="217">
        <v>1.9</v>
      </c>
      <c r="C40" s="215">
        <v>1.629</v>
      </c>
      <c r="D40" s="228">
        <v>2.2599999999999998</v>
      </c>
      <c r="E40" s="73">
        <f t="shared" si="0"/>
        <v>0.16635972989564141</v>
      </c>
      <c r="F40" s="71">
        <f t="shared" si="1"/>
        <v>-0.15929203539823</v>
      </c>
      <c r="G40" s="234">
        <f>B40+Jun!G40</f>
        <v>11.1</v>
      </c>
      <c r="H40" s="234">
        <f>C40+Jun!H40</f>
        <v>10.584</v>
      </c>
      <c r="I40" s="231">
        <v>12.962</v>
      </c>
      <c r="J40" s="73">
        <f t="shared" si="2"/>
        <v>4.8752834467120199E-2</v>
      </c>
      <c r="K40" s="40">
        <f t="shared" si="3"/>
        <v>-0.14365067119271724</v>
      </c>
    </row>
    <row r="41" spans="1:11">
      <c r="A41" s="7" t="s">
        <v>32</v>
      </c>
      <c r="B41" s="217">
        <v>15.9</v>
      </c>
      <c r="C41" s="215">
        <v>15.555999999999999</v>
      </c>
      <c r="D41" s="228">
        <v>15.37</v>
      </c>
      <c r="E41" s="73">
        <f t="shared" si="0"/>
        <v>2.2113653895603047E-2</v>
      </c>
      <c r="F41" s="71">
        <f t="shared" si="1"/>
        <v>3.4482758620689724E-2</v>
      </c>
      <c r="G41" s="234">
        <f>B41+Jun!G41</f>
        <v>111.4</v>
      </c>
      <c r="H41" s="234">
        <f>C41+Jun!H41</f>
        <v>102.004</v>
      </c>
      <c r="I41" s="231">
        <v>118.169</v>
      </c>
      <c r="J41" s="73">
        <f t="shared" si="2"/>
        <v>9.2114034743735473E-2</v>
      </c>
      <c r="K41" s="40">
        <f t="shared" si="3"/>
        <v>-5.728236677978138E-2</v>
      </c>
    </row>
    <row r="42" spans="1:11">
      <c r="A42" s="7" t="s">
        <v>33</v>
      </c>
      <c r="B42" s="217">
        <v>0.6</v>
      </c>
      <c r="C42" s="215">
        <v>0.64900000000000002</v>
      </c>
      <c r="D42" s="228">
        <v>0.58099999999999996</v>
      </c>
      <c r="E42" s="73">
        <f t="shared" si="0"/>
        <v>-7.5500770416024765E-2</v>
      </c>
      <c r="F42" s="71">
        <f t="shared" si="1"/>
        <v>3.2702237521514688E-2</v>
      </c>
      <c r="G42" s="234">
        <f>B42+Jun!G42</f>
        <v>5.4</v>
      </c>
      <c r="H42" s="234">
        <f>C42+Jun!H42</f>
        <v>4.9899999999999993</v>
      </c>
      <c r="I42" s="231">
        <v>5.1619999999999999</v>
      </c>
      <c r="J42" s="73">
        <f t="shared" si="2"/>
        <v>8.2164328657314822E-2</v>
      </c>
      <c r="K42" s="40">
        <f t="shared" si="3"/>
        <v>4.6106160402944685E-2</v>
      </c>
    </row>
    <row r="43" spans="1:11">
      <c r="A43" s="7" t="s">
        <v>34</v>
      </c>
      <c r="B43" s="217">
        <v>5.2</v>
      </c>
      <c r="C43" s="215">
        <v>4.181</v>
      </c>
      <c r="D43" s="228">
        <v>4.8840000000000003</v>
      </c>
      <c r="E43" s="73">
        <f t="shared" si="0"/>
        <v>0.24372159770389867</v>
      </c>
      <c r="F43" s="71">
        <f t="shared" si="1"/>
        <v>6.4701064701064626E-2</v>
      </c>
      <c r="G43" s="234">
        <f>B43+Jun!G43</f>
        <v>36.900000000000006</v>
      </c>
      <c r="H43" s="234">
        <f>C43+Jun!H43</f>
        <v>29.196000000000002</v>
      </c>
      <c r="I43" s="231">
        <v>32.177999999999997</v>
      </c>
      <c r="J43" s="73">
        <f t="shared" si="2"/>
        <v>0.26387176325524053</v>
      </c>
      <c r="K43" s="40">
        <f t="shared" si="3"/>
        <v>0.14674622412828664</v>
      </c>
    </row>
    <row r="44" spans="1:11">
      <c r="A44" s="7" t="s">
        <v>35</v>
      </c>
      <c r="B44" s="217">
        <v>3</v>
      </c>
      <c r="C44" s="215">
        <v>2.9380000000000002</v>
      </c>
      <c r="D44" s="228">
        <v>3.181</v>
      </c>
      <c r="E44" s="73">
        <f t="shared" si="0"/>
        <v>2.1102791014295352E-2</v>
      </c>
      <c r="F44" s="71">
        <f t="shared" si="1"/>
        <v>-5.6900345803206576E-2</v>
      </c>
      <c r="G44" s="234">
        <f>B44+Jun!G44</f>
        <v>20.5</v>
      </c>
      <c r="H44" s="234">
        <f>C44+Jun!H44</f>
        <v>19.073999999999998</v>
      </c>
      <c r="I44" s="231">
        <v>21.913</v>
      </c>
      <c r="J44" s="73">
        <f t="shared" si="2"/>
        <v>7.4761455384292796E-2</v>
      </c>
      <c r="K44" s="40">
        <f t="shared" si="3"/>
        <v>-6.4482270798156383E-2</v>
      </c>
    </row>
    <row r="45" spans="1:11">
      <c r="A45" s="6" t="s">
        <v>36</v>
      </c>
      <c r="B45" s="217">
        <v>31.1</v>
      </c>
      <c r="C45" s="215">
        <v>31.462</v>
      </c>
      <c r="D45" s="228">
        <v>38.011000000000003</v>
      </c>
      <c r="E45" s="73">
        <f t="shared" si="0"/>
        <v>-1.1505943678087771E-2</v>
      </c>
      <c r="F45" s="71">
        <f t="shared" si="1"/>
        <v>-0.18181579016600458</v>
      </c>
      <c r="G45" s="234">
        <f>B45+Jun!G45</f>
        <v>172</v>
      </c>
      <c r="H45" s="234">
        <f>C45+Jun!H45</f>
        <v>160.92400000000001</v>
      </c>
      <c r="I45" s="231">
        <v>212.815</v>
      </c>
      <c r="J45" s="73">
        <f t="shared" si="2"/>
        <v>6.8827521065844666E-2</v>
      </c>
      <c r="K45" s="40">
        <f t="shared" si="3"/>
        <v>-0.19178629325940366</v>
      </c>
    </row>
    <row r="46" spans="1:11">
      <c r="A46" s="6" t="s">
        <v>37</v>
      </c>
      <c r="B46" s="217">
        <v>7.8</v>
      </c>
      <c r="C46" s="215">
        <v>5.9770000000000003</v>
      </c>
      <c r="D46" s="228">
        <v>7.9109999999999996</v>
      </c>
      <c r="E46" s="73">
        <f t="shared" si="0"/>
        <v>0.30500250962021069</v>
      </c>
      <c r="F46" s="71">
        <f t="shared" si="1"/>
        <v>-1.403109594235874E-2</v>
      </c>
      <c r="G46" s="234">
        <f>B46+Jun!G46</f>
        <v>54.199999999999996</v>
      </c>
      <c r="H46" s="234">
        <f>C46+Jun!H46</f>
        <v>42.204000000000008</v>
      </c>
      <c r="I46" s="231">
        <v>59.95</v>
      </c>
      <c r="J46" s="73">
        <f t="shared" si="2"/>
        <v>0.28423846080940152</v>
      </c>
      <c r="K46" s="40">
        <f t="shared" si="3"/>
        <v>-9.5913261050875831E-2</v>
      </c>
    </row>
    <row r="47" spans="1:11">
      <c r="A47" s="7" t="s">
        <v>38</v>
      </c>
      <c r="B47" s="217">
        <v>3.4</v>
      </c>
      <c r="C47" s="215">
        <v>3.42</v>
      </c>
      <c r="D47" s="228">
        <v>3.169</v>
      </c>
      <c r="E47" s="73">
        <f t="shared" si="0"/>
        <v>-5.8479532163743242E-3</v>
      </c>
      <c r="F47" s="71">
        <f t="shared" si="1"/>
        <v>7.2893657305143522E-2</v>
      </c>
      <c r="G47" s="234">
        <f>B47+Jun!G47</f>
        <v>26.9</v>
      </c>
      <c r="H47" s="234">
        <f>C47+Jun!H47</f>
        <v>23.140999999999998</v>
      </c>
      <c r="I47" s="231">
        <v>25.222999999999999</v>
      </c>
      <c r="J47" s="73">
        <f t="shared" si="2"/>
        <v>0.1624389611512036</v>
      </c>
      <c r="K47" s="40">
        <f t="shared" si="3"/>
        <v>6.6486936526186424E-2</v>
      </c>
    </row>
    <row r="48" spans="1:11">
      <c r="A48" s="7" t="s">
        <v>39</v>
      </c>
      <c r="B48" s="217">
        <v>12.2</v>
      </c>
      <c r="C48" s="215">
        <v>9.3759999999999994</v>
      </c>
      <c r="D48" s="228">
        <v>10.266</v>
      </c>
      <c r="E48" s="73">
        <f t="shared" si="0"/>
        <v>0.30119453924914685</v>
      </c>
      <c r="F48" s="71">
        <f t="shared" si="1"/>
        <v>0.18838885641924796</v>
      </c>
      <c r="G48" s="234">
        <f>B48+Jun!G48</f>
        <v>117.2</v>
      </c>
      <c r="H48" s="234">
        <f>C48+Jun!H48</f>
        <v>90.371000000000009</v>
      </c>
      <c r="I48" s="231">
        <v>101.157</v>
      </c>
      <c r="J48" s="73">
        <f t="shared" si="2"/>
        <v>0.29687621028869882</v>
      </c>
      <c r="K48" s="40">
        <f t="shared" si="3"/>
        <v>0.15859505521120631</v>
      </c>
    </row>
    <row r="49" spans="1:11">
      <c r="A49" s="7" t="s">
        <v>40</v>
      </c>
      <c r="B49" s="217">
        <v>2.1</v>
      </c>
      <c r="C49" s="215">
        <v>1.9370000000000001</v>
      </c>
      <c r="D49" s="228">
        <v>1.978</v>
      </c>
      <c r="E49" s="73">
        <f t="shared" si="0"/>
        <v>8.4150748580278822E-2</v>
      </c>
      <c r="F49" s="71">
        <f t="shared" si="1"/>
        <v>6.1678463094034353E-2</v>
      </c>
      <c r="G49" s="234">
        <f>B49+Jun!G49</f>
        <v>16.800000000000004</v>
      </c>
      <c r="H49" s="234">
        <f>C49+Jun!H49</f>
        <v>13.593999999999999</v>
      </c>
      <c r="I49" s="231">
        <v>15.619</v>
      </c>
      <c r="J49" s="73">
        <f t="shared" si="2"/>
        <v>0.23583934088568514</v>
      </c>
      <c r="K49" s="40">
        <f t="shared" si="3"/>
        <v>7.5613035405595941E-2</v>
      </c>
    </row>
    <row r="50" spans="1:11">
      <c r="A50" s="6" t="s">
        <v>41</v>
      </c>
      <c r="B50" s="217">
        <v>6.2</v>
      </c>
      <c r="C50" s="215">
        <v>4.2610000000000001</v>
      </c>
      <c r="D50" s="228">
        <v>4.6360000000000001</v>
      </c>
      <c r="E50" s="73">
        <f t="shared" si="0"/>
        <v>0.45505749823984987</v>
      </c>
      <c r="F50" s="71">
        <f t="shared" si="1"/>
        <v>0.33735979292493523</v>
      </c>
      <c r="G50" s="234">
        <f>B50+Jun!G50</f>
        <v>32.200000000000003</v>
      </c>
      <c r="H50" s="234">
        <f>C50+Jun!H50</f>
        <v>23.065999999999999</v>
      </c>
      <c r="I50" s="231">
        <v>29.577000000000002</v>
      </c>
      <c r="J50" s="73">
        <f t="shared" si="2"/>
        <v>0.39599410387583478</v>
      </c>
      <c r="K50" s="40">
        <f t="shared" si="3"/>
        <v>8.8683774554552564E-2</v>
      </c>
    </row>
    <row r="51" spans="1:11">
      <c r="A51" s="7" t="s">
        <v>42</v>
      </c>
      <c r="B51" s="217">
        <v>0.8</v>
      </c>
      <c r="C51" s="215">
        <v>0.57499999999999996</v>
      </c>
      <c r="D51" s="228">
        <v>0.66300000000000003</v>
      </c>
      <c r="E51" s="73">
        <f t="shared" si="0"/>
        <v>0.39130434782608714</v>
      </c>
      <c r="F51" s="71">
        <f t="shared" si="1"/>
        <v>0.20663650075414774</v>
      </c>
      <c r="G51" s="234">
        <f>B51+Jun!G51</f>
        <v>5.3999999999999995</v>
      </c>
      <c r="H51" s="234">
        <f>C51+Jun!H51</f>
        <v>4.2640000000000002</v>
      </c>
      <c r="I51" s="231">
        <v>5.56</v>
      </c>
      <c r="J51" s="73">
        <f t="shared" si="2"/>
        <v>0.26641651031894908</v>
      </c>
      <c r="K51" s="40">
        <f t="shared" si="3"/>
        <v>-2.877697841726623E-2</v>
      </c>
    </row>
    <row r="52" spans="1:11">
      <c r="A52" s="7"/>
      <c r="B52" s="217"/>
      <c r="C52" s="215"/>
      <c r="D52" s="228"/>
      <c r="E52" s="73"/>
      <c r="F52" s="71"/>
      <c r="G52" s="234"/>
      <c r="H52" s="234"/>
      <c r="I52" s="231">
        <v>0</v>
      </c>
      <c r="J52" s="73"/>
      <c r="K52" s="40"/>
    </row>
    <row r="53" spans="1:11">
      <c r="A53" s="7" t="s">
        <v>43</v>
      </c>
      <c r="B53" s="217">
        <f>SUM(B54:B60)</f>
        <v>36.4</v>
      </c>
      <c r="C53" s="215">
        <v>31.268999999999998</v>
      </c>
      <c r="D53" s="228">
        <v>34.063000000000002</v>
      </c>
      <c r="E53" s="73">
        <f t="shared" si="0"/>
        <v>0.16409223192299094</v>
      </c>
      <c r="F53" s="71">
        <f t="shared" si="1"/>
        <v>6.8608167219563532E-2</v>
      </c>
      <c r="G53" s="234">
        <f>B53+Jun!G53</f>
        <v>288.2</v>
      </c>
      <c r="H53" s="234">
        <f>C53+Jun!H53</f>
        <v>228.63800000000001</v>
      </c>
      <c r="I53" s="231">
        <v>292.69799999999998</v>
      </c>
      <c r="J53" s="73">
        <f t="shared" si="2"/>
        <v>0.26050787708080003</v>
      </c>
      <c r="K53" s="40">
        <f t="shared" si="3"/>
        <v>-1.5367375246841397E-2</v>
      </c>
    </row>
    <row r="54" spans="1:11">
      <c r="A54" s="7" t="s">
        <v>44</v>
      </c>
      <c r="B54" s="217">
        <v>21</v>
      </c>
      <c r="C54" s="215">
        <v>17.25</v>
      </c>
      <c r="D54" s="228">
        <v>21.05</v>
      </c>
      <c r="E54" s="73">
        <f t="shared" si="0"/>
        <v>0.21739130434782616</v>
      </c>
      <c r="F54" s="71">
        <f t="shared" si="1"/>
        <v>-2.3752969121140222E-3</v>
      </c>
      <c r="G54" s="234">
        <f>B54+Jun!G54</f>
        <v>180.6</v>
      </c>
      <c r="H54" s="234">
        <f>C54+Jun!H54</f>
        <v>139.69400000000002</v>
      </c>
      <c r="I54" s="231">
        <v>200.81700000000001</v>
      </c>
      <c r="J54" s="73">
        <f t="shared" si="2"/>
        <v>0.29282574770569947</v>
      </c>
      <c r="K54" s="40">
        <f t="shared" si="3"/>
        <v>-0.10067374774048021</v>
      </c>
    </row>
    <row r="55" spans="1:11">
      <c r="A55" s="7" t="s">
        <v>45</v>
      </c>
      <c r="B55" s="217">
        <v>10.5</v>
      </c>
      <c r="C55" s="215">
        <v>10.318</v>
      </c>
      <c r="D55" s="228">
        <v>9.7219999999999995</v>
      </c>
      <c r="E55" s="73">
        <f t="shared" si="0"/>
        <v>1.7639077340569909E-2</v>
      </c>
      <c r="F55" s="71">
        <f t="shared" si="1"/>
        <v>8.0024686278543644E-2</v>
      </c>
      <c r="G55" s="234">
        <f>B55+Jun!G55</f>
        <v>79.400000000000006</v>
      </c>
      <c r="H55" s="234">
        <f>C55+Jun!H55</f>
        <v>67.387</v>
      </c>
      <c r="I55" s="231">
        <v>68.692999999999998</v>
      </c>
      <c r="J55" s="73">
        <f t="shared" si="2"/>
        <v>0.1782688055559678</v>
      </c>
      <c r="K55" s="40">
        <f t="shared" si="3"/>
        <v>0.15586741007089522</v>
      </c>
    </row>
    <row r="56" spans="1:11">
      <c r="A56" s="7" t="s">
        <v>46</v>
      </c>
      <c r="B56" s="217">
        <v>2.2000000000000002</v>
      </c>
      <c r="C56" s="215">
        <v>1.8380000000000001</v>
      </c>
      <c r="D56" s="228">
        <v>1.3520000000000001</v>
      </c>
      <c r="E56" s="73">
        <f t="shared" si="0"/>
        <v>0.19695321001088151</v>
      </c>
      <c r="F56" s="71">
        <f t="shared" si="1"/>
        <v>0.6272189349112427</v>
      </c>
      <c r="G56" s="234">
        <f>B56+Jun!G56</f>
        <v>12.100000000000001</v>
      </c>
      <c r="H56" s="234">
        <f>C56+Jun!H56</f>
        <v>11.417999999999999</v>
      </c>
      <c r="I56" s="231">
        <v>9.6460000000000008</v>
      </c>
      <c r="J56" s="73">
        <f t="shared" si="2"/>
        <v>5.9730250481695668E-2</v>
      </c>
      <c r="K56" s="40">
        <f t="shared" si="3"/>
        <v>0.25440597138710341</v>
      </c>
    </row>
    <row r="57" spans="1:11">
      <c r="A57" s="7" t="s">
        <v>47</v>
      </c>
      <c r="B57" s="217">
        <v>0.9</v>
      </c>
      <c r="C57" s="215">
        <v>0.86699999999999999</v>
      </c>
      <c r="D57" s="228">
        <v>0.67900000000000005</v>
      </c>
      <c r="E57" s="73">
        <f t="shared" si="0"/>
        <v>3.8062283737024361E-2</v>
      </c>
      <c r="F57" s="71">
        <f t="shared" si="1"/>
        <v>0.32547864506627389</v>
      </c>
      <c r="G57" s="234">
        <f>B57+Jun!G57</f>
        <v>5.7</v>
      </c>
      <c r="H57" s="234">
        <f>C57+Jun!H57</f>
        <v>4.3079999999999998</v>
      </c>
      <c r="I57" s="231">
        <v>4.9050000000000002</v>
      </c>
      <c r="J57" s="73">
        <f t="shared" si="2"/>
        <v>0.32311977715877438</v>
      </c>
      <c r="K57" s="40">
        <f t="shared" si="3"/>
        <v>0.1620795107033639</v>
      </c>
    </row>
    <row r="58" spans="1:11">
      <c r="A58" s="7" t="s">
        <v>48</v>
      </c>
      <c r="B58" s="217">
        <v>0.4</v>
      </c>
      <c r="C58" s="215">
        <v>0.39900000000000002</v>
      </c>
      <c r="D58" s="228">
        <v>0.34499999999999997</v>
      </c>
      <c r="E58" s="73">
        <f t="shared" si="0"/>
        <v>2.5062656641603454E-3</v>
      </c>
      <c r="F58" s="71">
        <f t="shared" si="1"/>
        <v>0.15942028985507273</v>
      </c>
      <c r="G58" s="234">
        <f>B58+Jun!G58</f>
        <v>2.2000000000000002</v>
      </c>
      <c r="H58" s="234">
        <f>C58+Jun!H58</f>
        <v>2.177</v>
      </c>
      <c r="I58" s="231">
        <v>2.4649999999999999</v>
      </c>
      <c r="J58" s="73">
        <f t="shared" si="2"/>
        <v>1.0564997703261358E-2</v>
      </c>
      <c r="K58" s="40">
        <f t="shared" si="3"/>
        <v>-0.10750507099391471</v>
      </c>
    </row>
    <row r="59" spans="1:11">
      <c r="A59" s="7" t="s">
        <v>87</v>
      </c>
      <c r="B59" s="217">
        <v>0.8</v>
      </c>
      <c r="C59" s="215">
        <v>0.52600000000000002</v>
      </c>
      <c r="D59" s="228">
        <v>0.82399999999999995</v>
      </c>
      <c r="E59" s="73">
        <f t="shared" si="0"/>
        <v>0.52091254752851723</v>
      </c>
      <c r="F59" s="71">
        <f t="shared" si="1"/>
        <v>-2.9126213592232886E-2</v>
      </c>
      <c r="G59" s="234">
        <f>B59+Jun!G59</f>
        <v>4</v>
      </c>
      <c r="H59" s="234">
        <f>C59+Jun!H59</f>
        <v>3.1400000000000006</v>
      </c>
      <c r="I59" s="231">
        <v>5.3630000000000004</v>
      </c>
      <c r="J59" s="73">
        <f t="shared" si="2"/>
        <v>0.27388535031847105</v>
      </c>
      <c r="K59" s="40">
        <f t="shared" si="3"/>
        <v>-0.25414879731493578</v>
      </c>
    </row>
    <row r="60" spans="1:11">
      <c r="A60" s="7" t="s">
        <v>49</v>
      </c>
      <c r="B60" s="217">
        <v>0.6</v>
      </c>
      <c r="C60" s="215">
        <v>7.0999999999999994E-2</v>
      </c>
      <c r="D60" s="228">
        <v>9.0999999999999998E-2</v>
      </c>
      <c r="E60" s="73">
        <f t="shared" si="0"/>
        <v>7.4507042253521139</v>
      </c>
      <c r="F60" s="71">
        <f t="shared" si="1"/>
        <v>5.5934065934065931</v>
      </c>
      <c r="G60" s="234">
        <f>B60+Jun!G60</f>
        <v>4.2</v>
      </c>
      <c r="H60" s="234">
        <f>C60+Jun!H60</f>
        <v>0.51400000000000001</v>
      </c>
      <c r="I60" s="231">
        <v>0.80900000000000005</v>
      </c>
      <c r="J60" s="73">
        <f t="shared" si="2"/>
        <v>7.1712062256809332</v>
      </c>
      <c r="K60" s="40">
        <f t="shared" si="3"/>
        <v>4.1915945611866503</v>
      </c>
    </row>
    <row r="61" spans="1:11">
      <c r="A61" s="2"/>
      <c r="B61" s="217"/>
      <c r="C61" s="215"/>
      <c r="D61" s="228"/>
      <c r="E61" s="73"/>
      <c r="F61" s="71"/>
      <c r="G61" s="234"/>
      <c r="H61" s="234"/>
      <c r="I61" s="231">
        <v>0</v>
      </c>
      <c r="J61" s="73"/>
      <c r="K61" s="40"/>
    </row>
    <row r="62" spans="1:11">
      <c r="A62" s="7" t="s">
        <v>50</v>
      </c>
      <c r="B62" s="217">
        <v>0.7</v>
      </c>
      <c r="C62" s="215">
        <v>1.0349999999999999</v>
      </c>
      <c r="D62" s="228">
        <v>0.69299999999999995</v>
      </c>
      <c r="E62" s="73">
        <f t="shared" si="0"/>
        <v>-0.32367149758454106</v>
      </c>
      <c r="F62" s="71">
        <f t="shared" si="1"/>
        <v>1.0101010101010166E-2</v>
      </c>
      <c r="G62" s="234">
        <f>B62+Jun!G62</f>
        <v>6.8</v>
      </c>
      <c r="H62" s="234">
        <f>C62+Jun!H62</f>
        <v>7.4379999999999997</v>
      </c>
      <c r="I62" s="231">
        <v>6.3639999999999999</v>
      </c>
      <c r="J62" s="73">
        <f t="shared" si="2"/>
        <v>-8.577574616832484E-2</v>
      </c>
      <c r="K62" s="40">
        <f t="shared" si="3"/>
        <v>6.8510370835952239E-2</v>
      </c>
    </row>
    <row r="63" spans="1:11">
      <c r="A63" s="7" t="s">
        <v>51</v>
      </c>
      <c r="B63" s="217">
        <v>0.2</v>
      </c>
      <c r="C63" s="215">
        <v>0.12</v>
      </c>
      <c r="D63" s="228">
        <v>0.126</v>
      </c>
      <c r="E63" s="73">
        <f t="shared" si="0"/>
        <v>0.66666666666666674</v>
      </c>
      <c r="F63" s="71">
        <f t="shared" si="1"/>
        <v>0.58730158730158744</v>
      </c>
      <c r="G63" s="234">
        <f>B63+Jun!G63</f>
        <v>1.9</v>
      </c>
      <c r="H63" s="234">
        <f>C63+Jun!H63</f>
        <v>1.5209999999999999</v>
      </c>
      <c r="I63" s="231">
        <v>1.655</v>
      </c>
      <c r="J63" s="73">
        <f t="shared" si="2"/>
        <v>0.24917817225509542</v>
      </c>
      <c r="K63" s="40">
        <f t="shared" si="3"/>
        <v>0.14803625377643503</v>
      </c>
    </row>
    <row r="64" spans="1:11">
      <c r="A64" s="7" t="s">
        <v>52</v>
      </c>
      <c r="B64" s="217">
        <v>0.5</v>
      </c>
      <c r="C64" s="215">
        <v>0.33500000000000002</v>
      </c>
      <c r="D64" s="228">
        <v>0.38300000000000001</v>
      </c>
      <c r="E64" s="73">
        <f t="shared" si="0"/>
        <v>0.49253731343283569</v>
      </c>
      <c r="F64" s="71">
        <f t="shared" si="1"/>
        <v>0.30548302872062671</v>
      </c>
      <c r="G64" s="234">
        <f>B64+Jun!G64</f>
        <v>8.9</v>
      </c>
      <c r="H64" s="234">
        <f>C64+Jun!H64</f>
        <v>7.0449999999999999</v>
      </c>
      <c r="I64" s="231">
        <v>5.2809999999999997</v>
      </c>
      <c r="J64" s="73">
        <f t="shared" si="2"/>
        <v>0.26330731014904196</v>
      </c>
      <c r="K64" s="40">
        <f t="shared" si="3"/>
        <v>0.68528687748532491</v>
      </c>
    </row>
    <row r="65" spans="1:11">
      <c r="A65" s="7" t="s">
        <v>53</v>
      </c>
      <c r="B65" s="217">
        <v>0.5</v>
      </c>
      <c r="C65" s="215">
        <v>0.39300000000000002</v>
      </c>
      <c r="D65" s="228">
        <v>0.23300000000000001</v>
      </c>
      <c r="E65" s="73">
        <f t="shared" si="0"/>
        <v>0.27226463104325704</v>
      </c>
      <c r="F65" s="71">
        <f t="shared" si="1"/>
        <v>1.1459227467811157</v>
      </c>
      <c r="G65" s="234">
        <f>B65+Jun!G65</f>
        <v>6.6000000000000005</v>
      </c>
      <c r="H65" s="234">
        <f>C65+Jun!H65</f>
        <v>3.5819999999999999</v>
      </c>
      <c r="I65" s="231">
        <v>3.0790000000000002</v>
      </c>
      <c r="J65" s="73">
        <f t="shared" si="2"/>
        <v>0.84254606365159157</v>
      </c>
      <c r="K65" s="40">
        <f t="shared" si="3"/>
        <v>1.1435531016563818</v>
      </c>
    </row>
    <row r="66" spans="1:11">
      <c r="A66" s="2"/>
      <c r="B66" s="217"/>
      <c r="C66" s="215"/>
      <c r="D66" s="228"/>
      <c r="E66" s="73"/>
      <c r="F66" s="71"/>
      <c r="G66" s="234"/>
      <c r="H66" s="234"/>
      <c r="I66" s="231">
        <v>0</v>
      </c>
      <c r="J66" s="73"/>
      <c r="K66" s="40"/>
    </row>
    <row r="67" spans="1:11">
      <c r="A67" s="7" t="s">
        <v>54</v>
      </c>
      <c r="B67" s="217">
        <v>5</v>
      </c>
      <c r="C67" s="215">
        <v>2.218</v>
      </c>
      <c r="D67" s="228">
        <v>2.9769999999999999</v>
      </c>
      <c r="E67" s="73">
        <f t="shared" si="0"/>
        <v>1.254283137962128</v>
      </c>
      <c r="F67" s="71">
        <f t="shared" si="1"/>
        <v>0.67954316425932149</v>
      </c>
      <c r="G67" s="234">
        <f>B67+Jun!G67</f>
        <v>43.2</v>
      </c>
      <c r="H67" s="234">
        <f>C67+Jun!H67</f>
        <v>29.45</v>
      </c>
      <c r="I67" s="231">
        <v>39.625999999999998</v>
      </c>
      <c r="J67" s="73">
        <f t="shared" si="2"/>
        <v>0.46689303904923607</v>
      </c>
      <c r="K67" s="40">
        <f t="shared" si="3"/>
        <v>9.0193307424418556E-2</v>
      </c>
    </row>
    <row r="68" spans="1:11">
      <c r="A68" s="7" t="s">
        <v>55</v>
      </c>
      <c r="B68" s="217">
        <v>1.5</v>
      </c>
      <c r="C68" s="215">
        <v>0.98599999999999999</v>
      </c>
      <c r="D68" s="228">
        <v>1.2230000000000001</v>
      </c>
      <c r="E68" s="73">
        <f t="shared" si="0"/>
        <v>0.52129817444219073</v>
      </c>
      <c r="F68" s="71">
        <f t="shared" si="1"/>
        <v>0.22649223221586245</v>
      </c>
      <c r="G68" s="234">
        <f>B68+Jun!G68</f>
        <v>11.899999999999999</v>
      </c>
      <c r="H68" s="234">
        <f>C68+Jun!H68</f>
        <v>9.0619999999999994</v>
      </c>
      <c r="I68" s="231">
        <v>10.346</v>
      </c>
      <c r="J68" s="73">
        <f t="shared" si="2"/>
        <v>0.3131758993599647</v>
      </c>
      <c r="K68" s="40">
        <f t="shared" si="3"/>
        <v>0.15020297699594032</v>
      </c>
    </row>
    <row r="69" spans="1:11">
      <c r="A69" s="7" t="s">
        <v>56</v>
      </c>
      <c r="B69" s="217">
        <v>0.4</v>
      </c>
      <c r="C69" s="215">
        <v>0.19500000000000001</v>
      </c>
      <c r="D69" s="228">
        <v>0.13200000000000001</v>
      </c>
      <c r="E69" s="73">
        <f t="shared" si="0"/>
        <v>1.0512820512820515</v>
      </c>
      <c r="F69" s="71">
        <f t="shared" si="1"/>
        <v>2.0303030303030303</v>
      </c>
      <c r="G69" s="234">
        <f>B69+Jun!G69</f>
        <v>3.1999999999999997</v>
      </c>
      <c r="H69" s="234">
        <f>C69+Jun!H69</f>
        <v>2.2319999999999998</v>
      </c>
      <c r="I69" s="231">
        <v>1.9359999999999999</v>
      </c>
      <c r="J69" s="73">
        <f t="shared" si="2"/>
        <v>0.43369175627240142</v>
      </c>
      <c r="K69" s="40">
        <f t="shared" si="3"/>
        <v>0.6528925619834709</v>
      </c>
    </row>
    <row r="70" spans="1:11">
      <c r="A70" s="7" t="s">
        <v>88</v>
      </c>
      <c r="B70" s="217">
        <v>0.1</v>
      </c>
      <c r="C70" s="215">
        <v>7.9000000000000001E-2</v>
      </c>
      <c r="D70" s="228">
        <v>0.253</v>
      </c>
      <c r="E70" s="73">
        <f t="shared" ref="E70:E96" si="4">B70/C70-1</f>
        <v>0.26582278481012667</v>
      </c>
      <c r="F70" s="71">
        <f t="shared" ref="F70:F96" si="5">B70/D70-1</f>
        <v>-0.60474308300395263</v>
      </c>
      <c r="G70" s="234">
        <f>B70+Jun!G70</f>
        <v>1.4</v>
      </c>
      <c r="H70" s="234">
        <f>C70+Jun!H70</f>
        <v>1.073</v>
      </c>
      <c r="I70" s="231">
        <v>1.5940000000000001</v>
      </c>
      <c r="J70" s="73">
        <f t="shared" ref="J70:J96" si="6">G70/H70-1</f>
        <v>0.3047530288909599</v>
      </c>
      <c r="K70" s="40">
        <f t="shared" ref="K70:K96" si="7">G70/I70-1</f>
        <v>-0.12170639899623603</v>
      </c>
    </row>
    <row r="71" spans="1:11">
      <c r="A71" s="7" t="s">
        <v>89</v>
      </c>
      <c r="B71" s="217">
        <v>0.3</v>
      </c>
      <c r="C71" s="215">
        <v>0.28699999999999998</v>
      </c>
      <c r="D71" s="228">
        <v>0.30499999999999999</v>
      </c>
      <c r="E71" s="73">
        <f t="shared" si="4"/>
        <v>4.5296167247386832E-2</v>
      </c>
      <c r="F71" s="71">
        <f t="shared" si="5"/>
        <v>-1.6393442622950838E-2</v>
      </c>
      <c r="G71" s="234">
        <f>B71+Jun!G71</f>
        <v>3.4</v>
      </c>
      <c r="H71" s="234">
        <f>C71+Jun!H71</f>
        <v>2.512</v>
      </c>
      <c r="I71" s="231">
        <v>3.347</v>
      </c>
      <c r="J71" s="73">
        <f t="shared" si="6"/>
        <v>0.35350318471337583</v>
      </c>
      <c r="K71" s="40">
        <f t="shared" si="7"/>
        <v>1.5835076187630692E-2</v>
      </c>
    </row>
    <row r="72" spans="1:11">
      <c r="A72" s="7" t="s">
        <v>59</v>
      </c>
      <c r="B72" s="217">
        <v>2.4</v>
      </c>
      <c r="C72" s="215">
        <v>1.8520000000000001</v>
      </c>
      <c r="D72" s="228">
        <v>1.696</v>
      </c>
      <c r="E72" s="73">
        <f t="shared" si="4"/>
        <v>0.29589632829373635</v>
      </c>
      <c r="F72" s="71">
        <f t="shared" si="5"/>
        <v>0.41509433962264142</v>
      </c>
      <c r="G72" s="234">
        <f>B72+Jun!G72</f>
        <v>39.4</v>
      </c>
      <c r="H72" s="234">
        <f>C72+Jun!H72</f>
        <v>25.581</v>
      </c>
      <c r="I72" s="231">
        <v>26.33</v>
      </c>
      <c r="J72" s="73">
        <f t="shared" si="6"/>
        <v>0.54020562135960271</v>
      </c>
      <c r="K72" s="40">
        <f t="shared" si="7"/>
        <v>0.49639194834789224</v>
      </c>
    </row>
    <row r="73" spans="1:11">
      <c r="A73" s="7" t="s">
        <v>60</v>
      </c>
      <c r="B73" s="217">
        <v>0.6</v>
      </c>
      <c r="C73" s="215">
        <v>0.46200000000000002</v>
      </c>
      <c r="D73" s="228">
        <v>0.44600000000000001</v>
      </c>
      <c r="E73" s="73">
        <f t="shared" si="4"/>
        <v>0.29870129870129869</v>
      </c>
      <c r="F73" s="71">
        <f t="shared" si="5"/>
        <v>0.34529147982062769</v>
      </c>
      <c r="G73" s="234">
        <f>B73+Jun!G73</f>
        <v>5.6</v>
      </c>
      <c r="H73" s="234">
        <f>C73+Jun!H73</f>
        <v>4.1970000000000001</v>
      </c>
      <c r="I73" s="231">
        <v>5.5449999999999999</v>
      </c>
      <c r="J73" s="73">
        <f t="shared" si="6"/>
        <v>0.33428639504407909</v>
      </c>
      <c r="K73" s="40">
        <f t="shared" si="7"/>
        <v>9.918845807033394E-3</v>
      </c>
    </row>
    <row r="74" spans="1:11">
      <c r="A74" s="7" t="s">
        <v>61</v>
      </c>
      <c r="B74" s="217">
        <v>1.6</v>
      </c>
      <c r="C74" s="215">
        <v>1.226</v>
      </c>
      <c r="D74" s="228">
        <v>1.256</v>
      </c>
      <c r="E74" s="73">
        <f t="shared" si="4"/>
        <v>0.30505709624796085</v>
      </c>
      <c r="F74" s="71">
        <f t="shared" si="5"/>
        <v>0.2738853503184715</v>
      </c>
      <c r="G74" s="234">
        <f>B74+Jun!G74</f>
        <v>12.2</v>
      </c>
      <c r="H74" s="234">
        <f>C74+Jun!H74</f>
        <v>7.7760000000000007</v>
      </c>
      <c r="I74" s="231">
        <v>8.8550000000000004</v>
      </c>
      <c r="J74" s="73">
        <f t="shared" si="6"/>
        <v>0.56893004115226309</v>
      </c>
      <c r="K74" s="40">
        <f t="shared" si="7"/>
        <v>0.37775268210050794</v>
      </c>
    </row>
    <row r="75" spans="1:11">
      <c r="A75" s="7" t="s">
        <v>62</v>
      </c>
      <c r="B75" s="217">
        <v>0.6</v>
      </c>
      <c r="C75" s="215">
        <v>0.35299999999999998</v>
      </c>
      <c r="D75" s="228">
        <v>0.41399999999999998</v>
      </c>
      <c r="E75" s="73">
        <f t="shared" si="4"/>
        <v>0.69971671388101986</v>
      </c>
      <c r="F75" s="71">
        <f t="shared" si="5"/>
        <v>0.44927536231884058</v>
      </c>
      <c r="G75" s="234">
        <f>B75+Jun!G75</f>
        <v>8</v>
      </c>
      <c r="H75" s="234">
        <f>C75+Jun!H75</f>
        <v>4.34</v>
      </c>
      <c r="I75" s="231">
        <v>5.5270000000000001</v>
      </c>
      <c r="J75" s="73">
        <f t="shared" si="6"/>
        <v>0.84331797235023043</v>
      </c>
      <c r="K75" s="40">
        <f t="shared" si="7"/>
        <v>0.44743984078161758</v>
      </c>
    </row>
    <row r="76" spans="1:11">
      <c r="A76" s="7" t="s">
        <v>63</v>
      </c>
      <c r="B76" s="217">
        <v>1.8</v>
      </c>
      <c r="C76" s="215">
        <v>1.3320000000000001</v>
      </c>
      <c r="D76" s="228">
        <v>1.516</v>
      </c>
      <c r="E76" s="73">
        <f t="shared" si="4"/>
        <v>0.35135135135135132</v>
      </c>
      <c r="F76" s="71">
        <f t="shared" si="5"/>
        <v>0.18733509234828505</v>
      </c>
      <c r="G76" s="234">
        <f>B76+Jun!G76</f>
        <v>15.3</v>
      </c>
      <c r="H76" s="234">
        <f>C76+Jun!H76</f>
        <v>9.5180000000000007</v>
      </c>
      <c r="I76" s="231">
        <v>11.053000000000001</v>
      </c>
      <c r="J76" s="73">
        <f t="shared" si="6"/>
        <v>0.60748056314351762</v>
      </c>
      <c r="K76" s="40">
        <f t="shared" si="7"/>
        <v>0.38423957296661526</v>
      </c>
    </row>
    <row r="77" spans="1:11">
      <c r="A77" s="7" t="s">
        <v>64</v>
      </c>
      <c r="B77" s="217">
        <v>0.4</v>
      </c>
      <c r="C77" s="215">
        <v>0.48499999999999999</v>
      </c>
      <c r="D77" s="228">
        <v>0.39800000000000002</v>
      </c>
      <c r="E77" s="73">
        <f t="shared" si="4"/>
        <v>-0.17525773195876282</v>
      </c>
      <c r="F77" s="71">
        <f t="shared" si="5"/>
        <v>5.0251256281406143E-3</v>
      </c>
      <c r="G77" s="234">
        <f>B77+Jun!G77</f>
        <v>3.4999999999999996</v>
      </c>
      <c r="H77" s="234">
        <f>C77+Jun!H77</f>
        <v>2.5649999999999999</v>
      </c>
      <c r="I77" s="231">
        <v>2.702</v>
      </c>
      <c r="J77" s="73">
        <f t="shared" si="6"/>
        <v>0.36452241715399603</v>
      </c>
      <c r="K77" s="40">
        <f t="shared" si="7"/>
        <v>0.29533678756476678</v>
      </c>
    </row>
    <row r="78" spans="1:11">
      <c r="A78" s="7"/>
      <c r="B78" s="217"/>
      <c r="C78" s="215"/>
      <c r="D78" s="228"/>
      <c r="E78" s="73"/>
      <c r="F78" s="71"/>
      <c r="G78" s="234"/>
      <c r="H78" s="234"/>
      <c r="I78" s="231">
        <v>0</v>
      </c>
      <c r="J78" s="73"/>
      <c r="K78" s="40"/>
    </row>
    <row r="79" spans="1:11">
      <c r="A79" s="7" t="s">
        <v>65</v>
      </c>
      <c r="B79" s="217">
        <f>B80+B81+B82+B83</f>
        <v>88.1</v>
      </c>
      <c r="C79" s="215">
        <v>73.010999999999996</v>
      </c>
      <c r="D79" s="228">
        <v>75.834000000000003</v>
      </c>
      <c r="E79" s="73">
        <f t="shared" si="4"/>
        <v>0.20666748846064298</v>
      </c>
      <c r="F79" s="71">
        <f t="shared" si="5"/>
        <v>0.16174802858875958</v>
      </c>
      <c r="G79" s="234">
        <f>B79+Jun!G79</f>
        <v>596.70000000000005</v>
      </c>
      <c r="H79" s="234">
        <f>C79+Jun!H79</f>
        <v>491.76499999999999</v>
      </c>
      <c r="I79" s="231">
        <v>553.06100000000004</v>
      </c>
      <c r="J79" s="73">
        <f t="shared" si="6"/>
        <v>0.21338444175571669</v>
      </c>
      <c r="K79" s="40">
        <f t="shared" si="7"/>
        <v>7.8904496972304949E-2</v>
      </c>
    </row>
    <row r="80" spans="1:11">
      <c r="A80" s="7" t="s">
        <v>66</v>
      </c>
      <c r="B80" s="217">
        <v>64.3</v>
      </c>
      <c r="C80" s="215">
        <v>55.904000000000003</v>
      </c>
      <c r="D80" s="228">
        <v>56.475999999999999</v>
      </c>
      <c r="E80" s="73">
        <f t="shared" si="4"/>
        <v>0.15018603319977086</v>
      </c>
      <c r="F80" s="71">
        <f t="shared" si="5"/>
        <v>0.13853672356399183</v>
      </c>
      <c r="G80" s="234">
        <f>B80+Jun!G80</f>
        <v>464.6</v>
      </c>
      <c r="H80" s="234">
        <f>C80+Jun!H80</f>
        <v>389.90300000000002</v>
      </c>
      <c r="I80" s="231">
        <v>426.95400000000001</v>
      </c>
      <c r="J80" s="73">
        <f t="shared" si="6"/>
        <v>0.19157841822196797</v>
      </c>
      <c r="K80" s="40">
        <f t="shared" si="7"/>
        <v>8.8173433203577067E-2</v>
      </c>
    </row>
    <row r="81" spans="1:11">
      <c r="A81" s="7" t="s">
        <v>67</v>
      </c>
      <c r="B81" s="217">
        <v>8.1</v>
      </c>
      <c r="C81" s="215">
        <v>5.74</v>
      </c>
      <c r="D81" s="228">
        <v>6.2619999999999996</v>
      </c>
      <c r="E81" s="73">
        <f t="shared" si="4"/>
        <v>0.41114982578397208</v>
      </c>
      <c r="F81" s="71">
        <f t="shared" si="5"/>
        <v>0.29351644841903557</v>
      </c>
      <c r="G81" s="234">
        <f>B81+Jun!G81</f>
        <v>46.8</v>
      </c>
      <c r="H81" s="234">
        <f>C81+Jun!H81</f>
        <v>37.583000000000006</v>
      </c>
      <c r="I81" s="231">
        <v>43.587000000000003</v>
      </c>
      <c r="J81" s="73">
        <f t="shared" si="6"/>
        <v>0.24524386025596656</v>
      </c>
      <c r="K81" s="40">
        <f t="shared" si="7"/>
        <v>7.3714639686144778E-2</v>
      </c>
    </row>
    <row r="82" spans="1:11">
      <c r="A82" s="7" t="s">
        <v>68</v>
      </c>
      <c r="B82" s="217">
        <v>3.9</v>
      </c>
      <c r="C82" s="215">
        <v>2.6920000000000002</v>
      </c>
      <c r="D82" s="228">
        <v>3.194</v>
      </c>
      <c r="E82" s="73">
        <f t="shared" si="4"/>
        <v>0.44873699851411586</v>
      </c>
      <c r="F82" s="71">
        <f t="shared" si="5"/>
        <v>0.22103944896681282</v>
      </c>
      <c r="G82" s="234">
        <f>B82+Jun!G82</f>
        <v>15.299999999999999</v>
      </c>
      <c r="H82" s="234">
        <f>C82+Jun!H82</f>
        <v>11.372999999999999</v>
      </c>
      <c r="I82" s="231">
        <v>14.472</v>
      </c>
      <c r="J82" s="73">
        <f t="shared" si="6"/>
        <v>0.34529147982062769</v>
      </c>
      <c r="K82" s="40">
        <f t="shared" si="7"/>
        <v>5.7213930348258613E-2</v>
      </c>
    </row>
    <row r="83" spans="1:11">
      <c r="A83" s="7" t="s">
        <v>69</v>
      </c>
      <c r="B83" s="217">
        <f>0.9+0.8+SUM(B84:B89)</f>
        <v>11.8</v>
      </c>
      <c r="C83" s="215">
        <v>8.6750000000000007</v>
      </c>
      <c r="D83" s="228">
        <v>9.9019999999999992</v>
      </c>
      <c r="E83" s="73">
        <f t="shared" si="4"/>
        <v>0.36023054755043216</v>
      </c>
      <c r="F83" s="71">
        <f t="shared" si="5"/>
        <v>0.19167844879822282</v>
      </c>
      <c r="G83" s="234">
        <f>B83+Jun!G83</f>
        <v>77.3</v>
      </c>
      <c r="H83" s="234">
        <f>C83+Jun!H83</f>
        <v>52.906000000000006</v>
      </c>
      <c r="I83" s="231">
        <v>68.048000000000002</v>
      </c>
      <c r="J83" s="73">
        <f t="shared" si="6"/>
        <v>0.46108191887498551</v>
      </c>
      <c r="K83" s="40">
        <f t="shared" si="7"/>
        <v>0.13596284975311534</v>
      </c>
    </row>
    <row r="84" spans="1:11">
      <c r="A84" s="7" t="s">
        <v>70</v>
      </c>
      <c r="B84" s="217">
        <v>0.2</v>
      </c>
      <c r="C84" s="215">
        <v>0.45600000000000002</v>
      </c>
      <c r="D84" s="228">
        <v>0.42899999999999999</v>
      </c>
      <c r="E84" s="73">
        <f t="shared" si="4"/>
        <v>-0.56140350877192979</v>
      </c>
      <c r="F84" s="71">
        <f t="shared" si="5"/>
        <v>-0.53379953379953382</v>
      </c>
      <c r="G84" s="234">
        <f>B84+Jun!G84</f>
        <v>2.2000000000000002</v>
      </c>
      <c r="H84" s="234">
        <f>C84+Jun!H84</f>
        <v>1.84</v>
      </c>
      <c r="I84" s="231">
        <v>2.149</v>
      </c>
      <c r="J84" s="73">
        <f t="shared" si="6"/>
        <v>0.19565217391304346</v>
      </c>
      <c r="K84" s="40">
        <f t="shared" si="7"/>
        <v>2.3731968357375566E-2</v>
      </c>
    </row>
    <row r="85" spans="1:11">
      <c r="A85" s="7" t="s">
        <v>71</v>
      </c>
      <c r="B85" s="217">
        <v>3.5</v>
      </c>
      <c r="C85" s="215">
        <v>2.4500000000000002</v>
      </c>
      <c r="D85" s="228">
        <v>2.3769999999999998</v>
      </c>
      <c r="E85" s="73">
        <f t="shared" si="4"/>
        <v>0.42857142857142838</v>
      </c>
      <c r="F85" s="71">
        <f t="shared" si="5"/>
        <v>0.47244425746739593</v>
      </c>
      <c r="G85" s="234">
        <f>B85+Jun!G85</f>
        <v>20.8</v>
      </c>
      <c r="H85" s="234">
        <f>C85+Jun!H85</f>
        <v>16.167999999999999</v>
      </c>
      <c r="I85" s="231">
        <v>17.02</v>
      </c>
      <c r="J85" s="73">
        <f t="shared" si="6"/>
        <v>0.28649183572488868</v>
      </c>
      <c r="K85" s="40">
        <f t="shared" si="7"/>
        <v>0.22209165687426569</v>
      </c>
    </row>
    <row r="86" spans="1:11">
      <c r="A86" s="7" t="s">
        <v>72</v>
      </c>
      <c r="B86" s="217">
        <v>4.7</v>
      </c>
      <c r="C86" s="215">
        <v>3.1269999999999998</v>
      </c>
      <c r="D86" s="228">
        <v>4.3609999999999998</v>
      </c>
      <c r="E86" s="73">
        <f t="shared" si="4"/>
        <v>0.50303805564438786</v>
      </c>
      <c r="F86" s="71">
        <f t="shared" si="5"/>
        <v>7.7734464572345896E-2</v>
      </c>
      <c r="G86" s="234">
        <f>B86+Jun!G86</f>
        <v>29.499999999999996</v>
      </c>
      <c r="H86" s="234">
        <f>C86+Jun!H86</f>
        <v>17.181000000000001</v>
      </c>
      <c r="I86" s="231">
        <v>28.152999999999999</v>
      </c>
      <c r="J86" s="73">
        <f t="shared" si="6"/>
        <v>0.71701297945404785</v>
      </c>
      <c r="K86" s="40">
        <f t="shared" si="7"/>
        <v>4.7845700280609416E-2</v>
      </c>
    </row>
    <row r="87" spans="1:11">
      <c r="A87" s="7" t="s">
        <v>73</v>
      </c>
      <c r="B87" s="217">
        <v>0.7</v>
      </c>
      <c r="C87" s="215">
        <v>0.39200000000000002</v>
      </c>
      <c r="D87" s="228">
        <v>0.45</v>
      </c>
      <c r="E87" s="73">
        <f t="shared" si="4"/>
        <v>0.78571428571428559</v>
      </c>
      <c r="F87" s="71">
        <f t="shared" si="5"/>
        <v>0.55555555555555536</v>
      </c>
      <c r="G87" s="234">
        <f>B87+Jun!G87</f>
        <v>4.5999999999999996</v>
      </c>
      <c r="H87" s="234">
        <f>C87+Jun!H87</f>
        <v>3.2729999999999997</v>
      </c>
      <c r="I87" s="231">
        <v>3.855</v>
      </c>
      <c r="J87" s="73">
        <f t="shared" si="6"/>
        <v>0.40543843568591509</v>
      </c>
      <c r="K87" s="40">
        <f t="shared" si="7"/>
        <v>0.19325551232166016</v>
      </c>
    </row>
    <row r="88" spans="1:11">
      <c r="A88" s="7" t="s">
        <v>74</v>
      </c>
      <c r="B88" s="217">
        <v>0.8</v>
      </c>
      <c r="C88" s="215">
        <v>0.69199999999999995</v>
      </c>
      <c r="D88" s="228">
        <v>0.69799999999999995</v>
      </c>
      <c r="E88" s="73">
        <f t="shared" si="4"/>
        <v>0.1560693641618498</v>
      </c>
      <c r="F88" s="71">
        <f t="shared" si="5"/>
        <v>0.14613180515759328</v>
      </c>
      <c r="G88" s="234">
        <f>B88+Jun!G88</f>
        <v>6</v>
      </c>
      <c r="H88" s="234">
        <f>C88+Jun!H88</f>
        <v>4.0920000000000005</v>
      </c>
      <c r="I88" s="231">
        <v>5.1520000000000001</v>
      </c>
      <c r="J88" s="73">
        <f t="shared" si="6"/>
        <v>0.46627565982404673</v>
      </c>
      <c r="K88" s="40">
        <f t="shared" si="7"/>
        <v>0.1645962732919255</v>
      </c>
    </row>
    <row r="89" spans="1:11">
      <c r="A89" s="7" t="s">
        <v>75</v>
      </c>
      <c r="B89" s="217">
        <v>0.2</v>
      </c>
      <c r="C89" s="215">
        <v>9.9000000000000005E-2</v>
      </c>
      <c r="D89" s="228">
        <v>0.17100000000000001</v>
      </c>
      <c r="E89" s="73">
        <f t="shared" si="4"/>
        <v>1.0202020202020203</v>
      </c>
      <c r="F89" s="71">
        <f t="shared" si="5"/>
        <v>0.16959064327485374</v>
      </c>
      <c r="G89" s="234">
        <f>B89+Jun!G89</f>
        <v>1.7000000000000004</v>
      </c>
      <c r="H89" s="234">
        <f>C89+Jun!H89</f>
        <v>0.59799999999999998</v>
      </c>
      <c r="I89" s="231">
        <v>0.94499999999999995</v>
      </c>
      <c r="J89" s="73">
        <f t="shared" si="6"/>
        <v>1.8428093645484958</v>
      </c>
      <c r="K89" s="40">
        <f t="shared" si="7"/>
        <v>0.79894179894179951</v>
      </c>
    </row>
    <row r="90" spans="1:11">
      <c r="A90" s="7"/>
      <c r="B90" s="217"/>
      <c r="C90" s="215"/>
      <c r="D90" s="228"/>
      <c r="E90" s="73"/>
      <c r="F90" s="71"/>
      <c r="G90" s="234"/>
      <c r="H90" s="234"/>
      <c r="I90" s="231">
        <v>0</v>
      </c>
      <c r="J90" s="73"/>
      <c r="K90" s="40"/>
    </row>
    <row r="91" spans="1:11">
      <c r="A91" s="7" t="s">
        <v>76</v>
      </c>
      <c r="B91" s="217">
        <f>SUM(B92:B94)</f>
        <v>4.3</v>
      </c>
      <c r="C91" s="215">
        <v>3.46</v>
      </c>
      <c r="D91" s="228">
        <v>2.9790000000000001</v>
      </c>
      <c r="E91" s="73">
        <f t="shared" si="4"/>
        <v>0.24277456647398843</v>
      </c>
      <c r="F91" s="71">
        <f t="shared" si="5"/>
        <v>0.44343739509902647</v>
      </c>
      <c r="G91" s="234">
        <f>B91+Jun!G91</f>
        <v>24.6</v>
      </c>
      <c r="H91" s="234">
        <f>C91+Jun!H91</f>
        <v>18.717000000000002</v>
      </c>
      <c r="I91" s="231">
        <v>21.501999999999999</v>
      </c>
      <c r="J91" s="73">
        <f t="shared" si="6"/>
        <v>0.31431319121654111</v>
      </c>
      <c r="K91" s="40">
        <f t="shared" si="7"/>
        <v>0.14407962050041867</v>
      </c>
    </row>
    <row r="92" spans="1:11">
      <c r="A92" s="7" t="s">
        <v>77</v>
      </c>
      <c r="B92" s="217">
        <v>3.8</v>
      </c>
      <c r="C92" s="215">
        <v>3.1379999999999999</v>
      </c>
      <c r="D92" s="228">
        <v>2.6440000000000001</v>
      </c>
      <c r="E92" s="73">
        <f t="shared" si="4"/>
        <v>0.21096239643084758</v>
      </c>
      <c r="F92" s="71">
        <f t="shared" si="5"/>
        <v>0.43721633888048395</v>
      </c>
      <c r="G92" s="234">
        <f>B92+Jun!G92</f>
        <v>21.7</v>
      </c>
      <c r="H92" s="234">
        <f>C92+Jun!H92</f>
        <v>16.445999999999998</v>
      </c>
      <c r="I92" s="231">
        <v>18.324999999999999</v>
      </c>
      <c r="J92" s="73">
        <f t="shared" si="6"/>
        <v>0.3194697798856867</v>
      </c>
      <c r="K92" s="40">
        <f t="shared" si="7"/>
        <v>0.184174624829468</v>
      </c>
    </row>
    <row r="93" spans="1:11">
      <c r="A93" s="7" t="s">
        <v>78</v>
      </c>
      <c r="B93" s="217">
        <v>0.4</v>
      </c>
      <c r="C93" s="215">
        <v>0.252</v>
      </c>
      <c r="D93" s="228">
        <v>0.29799999999999999</v>
      </c>
      <c r="E93" s="73">
        <f t="shared" si="4"/>
        <v>0.58730158730158744</v>
      </c>
      <c r="F93" s="71">
        <f t="shared" si="5"/>
        <v>0.34228187919463093</v>
      </c>
      <c r="G93" s="234">
        <f>B93+Jun!G93</f>
        <v>2.2999999999999998</v>
      </c>
      <c r="H93" s="234">
        <f>C93+Jun!H93</f>
        <v>1.881</v>
      </c>
      <c r="I93" s="231">
        <v>2.2010000000000001</v>
      </c>
      <c r="J93" s="73">
        <f t="shared" si="6"/>
        <v>0.22275385433280159</v>
      </c>
      <c r="K93" s="40">
        <f t="shared" si="7"/>
        <v>4.4979554747841766E-2</v>
      </c>
    </row>
    <row r="94" spans="1:11">
      <c r="A94" s="7" t="s">
        <v>19</v>
      </c>
      <c r="B94" s="217">
        <v>0.1</v>
      </c>
      <c r="C94" s="215">
        <v>7.0000000000000007E-2</v>
      </c>
      <c r="D94" s="228">
        <v>3.6999999999999998E-2</v>
      </c>
      <c r="E94" s="73">
        <f t="shared" si="4"/>
        <v>0.4285714285714286</v>
      </c>
      <c r="F94" s="71">
        <f t="shared" si="5"/>
        <v>1.7027027027027031</v>
      </c>
      <c r="G94" s="234">
        <f>B94+Jun!G94</f>
        <v>0.6</v>
      </c>
      <c r="H94" s="234">
        <f>C94+Jun!H94</f>
        <v>0.39</v>
      </c>
      <c r="I94" s="231">
        <v>0.97599999999999998</v>
      </c>
      <c r="J94" s="73">
        <f t="shared" si="6"/>
        <v>0.53846153846153832</v>
      </c>
      <c r="K94" s="40">
        <f t="shared" si="7"/>
        <v>-0.38524590163934425</v>
      </c>
    </row>
    <row r="95" spans="1:11">
      <c r="A95" s="7"/>
      <c r="B95" s="217"/>
      <c r="C95" s="215"/>
      <c r="D95" s="228"/>
      <c r="E95" s="73"/>
      <c r="F95" s="71"/>
      <c r="G95" s="234"/>
      <c r="H95" s="234"/>
      <c r="I95" s="231">
        <v>0</v>
      </c>
      <c r="J95" s="73"/>
      <c r="K95" s="40"/>
    </row>
    <row r="96" spans="1:11" ht="13.5" thickBot="1">
      <c r="A96" s="9" t="s">
        <v>79</v>
      </c>
      <c r="B96" s="312">
        <v>1.4</v>
      </c>
      <c r="C96" s="218">
        <v>1.7689999999999999</v>
      </c>
      <c r="D96" s="229">
        <v>1.3340000000000001</v>
      </c>
      <c r="E96" s="74">
        <f t="shared" si="4"/>
        <v>-0.20859242509892595</v>
      </c>
      <c r="F96" s="72">
        <f t="shared" si="5"/>
        <v>4.9475262368815498E-2</v>
      </c>
      <c r="G96" s="235">
        <f>B96+Jun!G96</f>
        <v>5.9</v>
      </c>
      <c r="H96" s="235">
        <f>C96+Jun!H96</f>
        <v>6.9320000000000004</v>
      </c>
      <c r="I96" s="232">
        <v>6.7220000000000004</v>
      </c>
      <c r="J96" s="74">
        <f t="shared" si="6"/>
        <v>-0.14887478361223316</v>
      </c>
      <c r="K96" s="41">
        <f t="shared" si="7"/>
        <v>-0.12228503421600712</v>
      </c>
    </row>
  </sheetData>
  <mergeCells count="4">
    <mergeCell ref="B3:D3"/>
    <mergeCell ref="E3:F3"/>
    <mergeCell ref="G3:I3"/>
    <mergeCell ref="J3:K3"/>
  </mergeCells>
  <conditionalFormatting sqref="E5:F96">
    <cfRule type="cellIs" dxfId="47" priority="5" operator="lessThan">
      <formula>0</formula>
    </cfRule>
    <cfRule type="cellIs" dxfId="46" priority="6" operator="greaterThan">
      <formula>0</formula>
    </cfRule>
    <cfRule type="cellIs" dxfId="45" priority="7" operator="greaterThan">
      <formula>0</formula>
    </cfRule>
    <cfRule type="cellIs" dxfId="44" priority="8" operator="lessThan">
      <formula>0</formula>
    </cfRule>
  </conditionalFormatting>
  <conditionalFormatting sqref="J5:K96">
    <cfRule type="cellIs" dxfId="43" priority="1" operator="lessThan">
      <formula>0</formula>
    </cfRule>
    <cfRule type="cellIs" dxfId="42" priority="2" operator="greaterThan">
      <formula>0</formula>
    </cfRule>
    <cfRule type="cellIs" dxfId="41" priority="3" operator="greaterThan">
      <formula>0</formula>
    </cfRule>
    <cfRule type="cellIs" dxfId="40" priority="4" operator="lessThan">
      <formula>0</formula>
    </cfRule>
  </conditionalFormatting>
  <pageMargins left="0.7" right="0.7" top="0.75" bottom="0.75" header="0.3" footer="0.3"/>
  <pageSetup paperSize="9" scale="87" orientation="portrait" r:id="rId1"/>
  <rowBreaks count="1" manualBreakCount="1">
    <brk id="5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6"/>
  <sheetViews>
    <sheetView zoomScaleNormal="100" workbookViewId="0">
      <selection activeCell="B57" sqref="B57"/>
    </sheetView>
  </sheetViews>
  <sheetFormatPr defaultColWidth="9" defaultRowHeight="12.75"/>
  <cols>
    <col min="1" max="1" width="26.28515625" style="42" customWidth="1"/>
    <col min="2" max="2" width="12" style="193" bestFit="1" customWidth="1"/>
    <col min="3" max="3" width="8.28515625" style="42" bestFit="1" customWidth="1"/>
    <col min="4" max="4" width="7.5703125" style="42" bestFit="1" customWidth="1"/>
    <col min="5" max="6" width="6.5703125" style="42" bestFit="1" customWidth="1"/>
    <col min="7" max="7" width="13.5703125" style="42" bestFit="1" customWidth="1"/>
    <col min="8" max="8" width="9" style="42" bestFit="1" customWidth="1"/>
    <col min="9" max="9" width="9.140625" style="42" bestFit="1" customWidth="1"/>
    <col min="10" max="11" width="6.5703125" style="42" bestFit="1" customWidth="1"/>
    <col min="12" max="16384" width="9" style="42"/>
  </cols>
  <sheetData>
    <row r="1" spans="1:11">
      <c r="A1" s="8" t="s">
        <v>129</v>
      </c>
      <c r="B1" s="190"/>
      <c r="C1" s="62"/>
      <c r="D1" s="62"/>
      <c r="E1" s="62"/>
      <c r="F1" s="62"/>
      <c r="G1" s="62"/>
      <c r="H1" s="62"/>
      <c r="I1" s="62"/>
      <c r="J1" s="1"/>
    </row>
    <row r="2" spans="1:11" ht="13.5" thickBot="1">
      <c r="A2" s="1" t="s">
        <v>237</v>
      </c>
      <c r="B2" s="191"/>
      <c r="C2" s="43"/>
      <c r="D2" s="43"/>
      <c r="G2" s="43"/>
      <c r="H2" s="43"/>
      <c r="I2" s="43"/>
    </row>
    <row r="3" spans="1:11" ht="13.5" thickBot="1">
      <c r="A3" s="10"/>
      <c r="B3" s="341" t="s">
        <v>100</v>
      </c>
      <c r="C3" s="342"/>
      <c r="D3" s="343"/>
      <c r="E3" s="341" t="s">
        <v>0</v>
      </c>
      <c r="F3" s="343"/>
      <c r="G3" s="344" t="s">
        <v>101</v>
      </c>
      <c r="H3" s="345"/>
      <c r="I3" s="346"/>
      <c r="J3" s="341" t="s">
        <v>0</v>
      </c>
      <c r="K3" s="343"/>
    </row>
    <row r="4" spans="1:11" ht="13.5" thickBot="1">
      <c r="A4" s="5"/>
      <c r="B4" s="192">
        <v>2017</v>
      </c>
      <c r="C4" s="83">
        <v>2016</v>
      </c>
      <c r="D4" s="141">
        <v>2015</v>
      </c>
      <c r="E4" s="21" t="s">
        <v>214</v>
      </c>
      <c r="F4" s="21" t="s">
        <v>215</v>
      </c>
      <c r="G4" s="83">
        <v>2017</v>
      </c>
      <c r="H4" s="83">
        <v>2016</v>
      </c>
      <c r="I4" s="141">
        <v>2015</v>
      </c>
      <c r="J4" s="21" t="s">
        <v>214</v>
      </c>
      <c r="K4" s="21" t="s">
        <v>215</v>
      </c>
    </row>
    <row r="5" spans="1:11">
      <c r="A5" s="7" t="s">
        <v>1</v>
      </c>
      <c r="B5" s="313">
        <f>B6+B27+B35+B79+B91+B96</f>
        <v>253.8</v>
      </c>
      <c r="C5" s="236">
        <v>212.19499999999999</v>
      </c>
      <c r="D5" s="237">
        <v>232.874</v>
      </c>
      <c r="E5" s="76">
        <f>B5/C5-1</f>
        <v>0.19606965291359368</v>
      </c>
      <c r="F5" s="70">
        <f>B5/D5-1</f>
        <v>8.9859752484175992E-2</v>
      </c>
      <c r="G5" s="213">
        <f>B5+Jul!G5</f>
        <v>2261.1000000000004</v>
      </c>
      <c r="H5" s="213">
        <f>C5+Jul!H5</f>
        <v>1827.405</v>
      </c>
      <c r="I5" s="242">
        <v>1878.943</v>
      </c>
      <c r="J5" s="76">
        <f>G5/H5-1</f>
        <v>0.23732834264982339</v>
      </c>
      <c r="K5" s="18">
        <f>G5/I5-1</f>
        <v>0.2033893524178223</v>
      </c>
    </row>
    <row r="6" spans="1:11">
      <c r="A6" s="7" t="s">
        <v>2</v>
      </c>
      <c r="B6" s="314">
        <f>B8+B21+B58+B59+B60+B62</f>
        <v>23.799999999999997</v>
      </c>
      <c r="C6" s="238">
        <v>17.445</v>
      </c>
      <c r="D6" s="239">
        <v>14.923</v>
      </c>
      <c r="E6" s="73">
        <f t="shared" ref="E6:E69" si="0">B6/C6-1</f>
        <v>0.36428776153625653</v>
      </c>
      <c r="F6" s="71">
        <f t="shared" ref="F6:F69" si="1">B6/D6-1</f>
        <v>0.5948535817194931</v>
      </c>
      <c r="G6" s="215">
        <f>B6+Jul!G6</f>
        <v>269.7</v>
      </c>
      <c r="H6" s="215">
        <f>C6+Jul!H6</f>
        <v>182.19400000000002</v>
      </c>
      <c r="I6" s="243">
        <v>158.69800000000001</v>
      </c>
      <c r="J6" s="73">
        <f t="shared" ref="J6:J69" si="2">G6/H6-1</f>
        <v>0.48029024007376742</v>
      </c>
      <c r="K6" s="44">
        <f t="shared" ref="K6:K69" si="3">G6/I6-1</f>
        <v>0.69945430944309295</v>
      </c>
    </row>
    <row r="7" spans="1:11">
      <c r="A7" s="7"/>
      <c r="B7" s="314"/>
      <c r="C7" s="238"/>
      <c r="D7" s="239"/>
      <c r="E7" s="73"/>
      <c r="F7" s="71"/>
      <c r="G7" s="215"/>
      <c r="H7" s="215"/>
      <c r="I7" s="243"/>
      <c r="J7" s="73"/>
      <c r="K7" s="44"/>
    </row>
    <row r="8" spans="1:11">
      <c r="A8" s="7" t="s">
        <v>3</v>
      </c>
      <c r="B8" s="314">
        <f>SUM(B9:B19)</f>
        <v>14.9</v>
      </c>
      <c r="C8" s="238">
        <v>11.092000000000001</v>
      </c>
      <c r="D8" s="239">
        <v>8.4990000000000006</v>
      </c>
      <c r="E8" s="73">
        <f t="shared" si="0"/>
        <v>0.34331049404976555</v>
      </c>
      <c r="F8" s="71">
        <f t="shared" si="1"/>
        <v>0.75314742910930699</v>
      </c>
      <c r="G8" s="215">
        <f>B8+Jul!G8</f>
        <v>199.90000000000003</v>
      </c>
      <c r="H8" s="215">
        <f>C8+Jul!H8</f>
        <v>133.76700000000002</v>
      </c>
      <c r="I8" s="243">
        <v>111.11499999999999</v>
      </c>
      <c r="J8" s="73">
        <f t="shared" si="2"/>
        <v>0.49438949815724365</v>
      </c>
      <c r="K8" s="44">
        <f t="shared" si="3"/>
        <v>0.79903703370382084</v>
      </c>
    </row>
    <row r="9" spans="1:11">
      <c r="A9" s="7" t="s">
        <v>4</v>
      </c>
      <c r="B9" s="314">
        <v>1.8</v>
      </c>
      <c r="C9" s="238">
        <v>1.1659999999999999</v>
      </c>
      <c r="D9" s="239">
        <v>1.7729999999999999</v>
      </c>
      <c r="E9" s="73">
        <f t="shared" si="0"/>
        <v>0.54373927958833623</v>
      </c>
      <c r="F9" s="71">
        <f t="shared" si="1"/>
        <v>1.5228426395939243E-2</v>
      </c>
      <c r="G9" s="215">
        <f>B9+Jul!G9</f>
        <v>35.5</v>
      </c>
      <c r="H9" s="215">
        <f>C9+Jul!H9</f>
        <v>26.346999999999998</v>
      </c>
      <c r="I9" s="243">
        <v>25.529</v>
      </c>
      <c r="J9" s="73">
        <f t="shared" si="2"/>
        <v>0.34740198125023736</v>
      </c>
      <c r="K9" s="44">
        <f t="shared" si="3"/>
        <v>0.3905754240275765</v>
      </c>
    </row>
    <row r="10" spans="1:11">
      <c r="A10" s="7" t="s">
        <v>5</v>
      </c>
      <c r="B10" s="314">
        <v>0.3</v>
      </c>
      <c r="C10" s="238">
        <v>0.122</v>
      </c>
      <c r="D10" s="239">
        <v>7.4999999999999997E-2</v>
      </c>
      <c r="E10" s="73">
        <f t="shared" si="0"/>
        <v>1.459016393442623</v>
      </c>
      <c r="F10" s="71">
        <f t="shared" si="1"/>
        <v>3</v>
      </c>
      <c r="G10" s="215">
        <f>B10+Jul!G10</f>
        <v>4.3999999999999995</v>
      </c>
      <c r="H10" s="215">
        <f>C10+Jul!H10</f>
        <v>2.7090000000000001</v>
      </c>
      <c r="I10" s="243">
        <v>2.3940000000000001</v>
      </c>
      <c r="J10" s="73">
        <f t="shared" si="2"/>
        <v>0.62421557770394953</v>
      </c>
      <c r="K10" s="44">
        <f t="shared" si="3"/>
        <v>0.83792815371762708</v>
      </c>
    </row>
    <row r="11" spans="1:11">
      <c r="A11" s="7" t="s">
        <v>6</v>
      </c>
      <c r="B11" s="314">
        <v>0.4</v>
      </c>
      <c r="C11" s="238">
        <v>0.26300000000000001</v>
      </c>
      <c r="D11" s="239">
        <v>0.28199999999999997</v>
      </c>
      <c r="E11" s="73">
        <f t="shared" si="0"/>
        <v>0.52091254752851723</v>
      </c>
      <c r="F11" s="71">
        <f t="shared" si="1"/>
        <v>0.41843971631205701</v>
      </c>
      <c r="G11" s="215">
        <f>B11+Jul!G11</f>
        <v>22.3</v>
      </c>
      <c r="H11" s="215">
        <f>C11+Jul!H11</f>
        <v>12.701000000000001</v>
      </c>
      <c r="I11" s="243">
        <v>13.231999999999999</v>
      </c>
      <c r="J11" s="73">
        <f t="shared" si="2"/>
        <v>0.7557672624202818</v>
      </c>
      <c r="K11" s="44">
        <f t="shared" si="3"/>
        <v>0.68530834340991542</v>
      </c>
    </row>
    <row r="12" spans="1:11">
      <c r="A12" s="7" t="s">
        <v>86</v>
      </c>
      <c r="B12" s="314">
        <v>0.6</v>
      </c>
      <c r="C12" s="238">
        <v>0.23200000000000001</v>
      </c>
      <c r="D12" s="239">
        <v>0.34200000000000003</v>
      </c>
      <c r="E12" s="73">
        <f t="shared" si="0"/>
        <v>1.5862068965517238</v>
      </c>
      <c r="F12" s="71">
        <f t="shared" si="1"/>
        <v>0.7543859649122806</v>
      </c>
      <c r="G12" s="215">
        <f>B12+Jul!G12</f>
        <v>5.3</v>
      </c>
      <c r="H12" s="215">
        <f>C12+Jul!H12</f>
        <v>2.988</v>
      </c>
      <c r="I12" s="243">
        <v>2.8090000000000002</v>
      </c>
      <c r="J12" s="73">
        <f t="shared" si="2"/>
        <v>0.77376171352074952</v>
      </c>
      <c r="K12" s="44">
        <f t="shared" si="3"/>
        <v>0.88679245283018848</v>
      </c>
    </row>
    <row r="13" spans="1:11">
      <c r="A13" s="7" t="s">
        <v>8</v>
      </c>
      <c r="B13" s="314">
        <f>7.3-0.6</f>
        <v>6.7</v>
      </c>
      <c r="C13" s="238">
        <v>5.8239999999999998</v>
      </c>
      <c r="D13" s="239">
        <v>2.5920000000000001</v>
      </c>
      <c r="E13" s="73">
        <f t="shared" si="0"/>
        <v>0.15041208791208804</v>
      </c>
      <c r="F13" s="71">
        <f t="shared" si="1"/>
        <v>1.5848765432098766</v>
      </c>
      <c r="G13" s="215">
        <f>B13+Jul!G13</f>
        <v>71.3</v>
      </c>
      <c r="H13" s="215">
        <f>C13+Jul!H13</f>
        <v>44.655999999999992</v>
      </c>
      <c r="I13" s="243">
        <v>28.050999999999998</v>
      </c>
      <c r="J13" s="73">
        <f t="shared" si="2"/>
        <v>0.59664994625582257</v>
      </c>
      <c r="K13" s="44">
        <f t="shared" si="3"/>
        <v>1.5417988663505757</v>
      </c>
    </row>
    <row r="14" spans="1:11">
      <c r="A14" s="7" t="s">
        <v>9</v>
      </c>
      <c r="B14" s="314">
        <v>1.3</v>
      </c>
      <c r="C14" s="238">
        <v>0.94699999999999995</v>
      </c>
      <c r="D14" s="239">
        <v>0.80500000000000005</v>
      </c>
      <c r="E14" s="73">
        <f t="shared" si="0"/>
        <v>0.37275607180570236</v>
      </c>
      <c r="F14" s="71">
        <f t="shared" si="1"/>
        <v>0.61490683229813659</v>
      </c>
      <c r="G14" s="215">
        <f>B14+Jul!G14</f>
        <v>10.6</v>
      </c>
      <c r="H14" s="215">
        <f>C14+Jul!H14</f>
        <v>7.2060000000000004</v>
      </c>
      <c r="I14" s="243">
        <v>6.6479999999999997</v>
      </c>
      <c r="J14" s="73">
        <f t="shared" si="2"/>
        <v>0.47099639189564235</v>
      </c>
      <c r="K14" s="44">
        <f t="shared" si="3"/>
        <v>0.59446450060168465</v>
      </c>
    </row>
    <row r="15" spans="1:11">
      <c r="A15" s="7" t="s">
        <v>10</v>
      </c>
      <c r="B15" s="314">
        <v>0.5</v>
      </c>
      <c r="C15" s="238">
        <v>0.252</v>
      </c>
      <c r="D15" s="239">
        <v>0.46300000000000002</v>
      </c>
      <c r="E15" s="73">
        <f t="shared" si="0"/>
        <v>0.98412698412698418</v>
      </c>
      <c r="F15" s="71">
        <f t="shared" si="1"/>
        <v>7.9913606911446999E-2</v>
      </c>
      <c r="G15" s="215">
        <f>B15+Jul!G15</f>
        <v>6.2000000000000011</v>
      </c>
      <c r="H15" s="215">
        <f>C15+Jul!H15</f>
        <v>3.9269999999999996</v>
      </c>
      <c r="I15" s="243">
        <v>3.9830000000000001</v>
      </c>
      <c r="J15" s="73">
        <f t="shared" si="2"/>
        <v>0.5788133435192262</v>
      </c>
      <c r="K15" s="44">
        <f t="shared" si="3"/>
        <v>0.5566156163695708</v>
      </c>
    </row>
    <row r="16" spans="1:11">
      <c r="A16" s="7" t="s">
        <v>11</v>
      </c>
      <c r="B16" s="314">
        <v>2.1</v>
      </c>
      <c r="C16" s="238">
        <v>1.39</v>
      </c>
      <c r="D16" s="239">
        <v>1.131</v>
      </c>
      <c r="E16" s="73">
        <f t="shared" si="0"/>
        <v>0.51079136690647498</v>
      </c>
      <c r="F16" s="71">
        <f t="shared" si="1"/>
        <v>0.85676392572944304</v>
      </c>
      <c r="G16" s="215">
        <f>B16+Jul!G16</f>
        <v>26.200000000000003</v>
      </c>
      <c r="H16" s="215">
        <f>C16+Jul!H16</f>
        <v>19.772000000000002</v>
      </c>
      <c r="I16" s="243">
        <v>16.016999999999999</v>
      </c>
      <c r="J16" s="73">
        <f t="shared" si="2"/>
        <v>0.32510621080315594</v>
      </c>
      <c r="K16" s="44">
        <f t="shared" si="3"/>
        <v>0.63576200287194884</v>
      </c>
    </row>
    <row r="17" spans="1:11">
      <c r="A17" s="7" t="s">
        <v>12</v>
      </c>
      <c r="B17" s="314">
        <v>0.2</v>
      </c>
      <c r="C17" s="238">
        <v>0.187</v>
      </c>
      <c r="D17" s="239">
        <v>0.36799999999999999</v>
      </c>
      <c r="E17" s="73">
        <f t="shared" si="0"/>
        <v>6.9518716577540163E-2</v>
      </c>
      <c r="F17" s="71">
        <f t="shared" si="1"/>
        <v>-0.4565217391304347</v>
      </c>
      <c r="G17" s="215">
        <f>B17+Jul!G17</f>
        <v>5.6</v>
      </c>
      <c r="H17" s="215">
        <f>C17+Jul!H17</f>
        <v>5.181</v>
      </c>
      <c r="I17" s="243">
        <v>4.7539999999999996</v>
      </c>
      <c r="J17" s="73">
        <f t="shared" si="2"/>
        <v>8.0872418452036188E-2</v>
      </c>
      <c r="K17" s="44">
        <f t="shared" si="3"/>
        <v>0.17795540597391679</v>
      </c>
    </row>
    <row r="18" spans="1:11">
      <c r="A18" s="7" t="s">
        <v>13</v>
      </c>
      <c r="B18" s="314">
        <v>0.2</v>
      </c>
      <c r="C18" s="238">
        <v>0.121</v>
      </c>
      <c r="D18" s="239">
        <v>0.14499999999999999</v>
      </c>
      <c r="E18" s="73">
        <f t="shared" si="0"/>
        <v>0.65289256198347112</v>
      </c>
      <c r="F18" s="71">
        <f t="shared" si="1"/>
        <v>0.3793103448275863</v>
      </c>
      <c r="G18" s="215">
        <f>B18+Jul!G18</f>
        <v>1.9</v>
      </c>
      <c r="H18" s="215">
        <f>C18+Jul!H18</f>
        <v>1.411</v>
      </c>
      <c r="I18" s="243">
        <v>1.597</v>
      </c>
      <c r="J18" s="73">
        <f t="shared" si="2"/>
        <v>0.34656272147413181</v>
      </c>
      <c r="K18" s="44">
        <f t="shared" si="3"/>
        <v>0.18973074514715083</v>
      </c>
    </row>
    <row r="19" spans="1:11">
      <c r="A19" s="7" t="s">
        <v>14</v>
      </c>
      <c r="B19" s="314">
        <v>0.8</v>
      </c>
      <c r="C19" s="238">
        <v>0.58799999999999997</v>
      </c>
      <c r="D19" s="239">
        <v>0.52300000000000002</v>
      </c>
      <c r="E19" s="73">
        <f t="shared" si="0"/>
        <v>0.36054421768707501</v>
      </c>
      <c r="F19" s="71">
        <f t="shared" si="1"/>
        <v>0.5296367112810707</v>
      </c>
      <c r="G19" s="215">
        <f>B19+Jul!G19</f>
        <v>10.6</v>
      </c>
      <c r="H19" s="215">
        <f>C19+Jul!H19</f>
        <v>6.8689999999999989</v>
      </c>
      <c r="I19" s="243">
        <v>6.101</v>
      </c>
      <c r="J19" s="73">
        <f t="shared" si="2"/>
        <v>0.54316494395108483</v>
      </c>
      <c r="K19" s="44">
        <f t="shared" si="3"/>
        <v>0.73742009506638251</v>
      </c>
    </row>
    <row r="20" spans="1:11">
      <c r="A20" s="7"/>
      <c r="B20" s="314"/>
      <c r="C20" s="238"/>
      <c r="D20" s="239"/>
      <c r="E20" s="73"/>
      <c r="F20" s="71"/>
      <c r="G20" s="215"/>
      <c r="H20" s="215"/>
      <c r="I20" s="243"/>
      <c r="J20" s="73"/>
      <c r="K20" s="44"/>
    </row>
    <row r="21" spans="1:11">
      <c r="A21" s="7" t="s">
        <v>15</v>
      </c>
      <c r="B21" s="314">
        <f>SUM(B22:B25)</f>
        <v>6</v>
      </c>
      <c r="C21" s="238">
        <v>6.3529999999999998</v>
      </c>
      <c r="D21" s="239">
        <v>6.4240000000000004</v>
      </c>
      <c r="E21" s="73">
        <f t="shared" si="0"/>
        <v>-5.5564300330552485E-2</v>
      </c>
      <c r="F21" s="71">
        <f t="shared" si="1"/>
        <v>-6.6002490660024948E-2</v>
      </c>
      <c r="G21" s="215">
        <f>B21+Jul!G21</f>
        <v>52.2</v>
      </c>
      <c r="H21" s="215">
        <f>C21+Jul!H21</f>
        <v>48.426999999999992</v>
      </c>
      <c r="I21" s="243">
        <v>47.582999999999998</v>
      </c>
      <c r="J21" s="73">
        <f t="shared" si="2"/>
        <v>7.791108266049962E-2</v>
      </c>
      <c r="K21" s="44">
        <f t="shared" si="3"/>
        <v>9.703045205220362E-2</v>
      </c>
    </row>
    <row r="22" spans="1:11">
      <c r="A22" s="7" t="s">
        <v>16</v>
      </c>
      <c r="B22" s="314">
        <v>0.4</v>
      </c>
      <c r="C22" s="238">
        <v>0.30299999999999999</v>
      </c>
      <c r="D22" s="239">
        <v>0.42499999999999999</v>
      </c>
      <c r="E22" s="73">
        <f t="shared" si="0"/>
        <v>0.32013201320132034</v>
      </c>
      <c r="F22" s="71">
        <f t="shared" si="1"/>
        <v>-5.8823529411764608E-2</v>
      </c>
      <c r="G22" s="215">
        <f>B22+Jul!G22</f>
        <v>5.2000000000000011</v>
      </c>
      <c r="H22" s="215">
        <f>C22+Jul!H22</f>
        <v>3.6369999999999996</v>
      </c>
      <c r="I22" s="243">
        <v>3.6259999999999999</v>
      </c>
      <c r="J22" s="73">
        <f t="shared" si="2"/>
        <v>0.42974979378608791</v>
      </c>
      <c r="K22" s="44">
        <f t="shared" si="3"/>
        <v>0.434087148372863</v>
      </c>
    </row>
    <row r="23" spans="1:11">
      <c r="A23" s="7" t="s">
        <v>17</v>
      </c>
      <c r="B23" s="314">
        <v>2.2000000000000002</v>
      </c>
      <c r="C23" s="238">
        <v>1.9430000000000001</v>
      </c>
      <c r="D23" s="239">
        <v>1.585</v>
      </c>
      <c r="E23" s="73">
        <f t="shared" si="0"/>
        <v>0.13226968605249612</v>
      </c>
      <c r="F23" s="71">
        <f t="shared" si="1"/>
        <v>0.38801261829653022</v>
      </c>
      <c r="G23" s="215">
        <f>B23+Jul!G23</f>
        <v>26.5</v>
      </c>
      <c r="H23" s="215">
        <f>C23+Jul!H23</f>
        <v>22.521000000000004</v>
      </c>
      <c r="I23" s="243">
        <v>18.992000000000001</v>
      </c>
      <c r="J23" s="73">
        <f t="shared" si="2"/>
        <v>0.17667954353714288</v>
      </c>
      <c r="K23" s="44">
        <f t="shared" si="3"/>
        <v>0.39532434709351305</v>
      </c>
    </row>
    <row r="24" spans="1:11">
      <c r="A24" s="7" t="s">
        <v>18</v>
      </c>
      <c r="B24" s="314">
        <v>1.5</v>
      </c>
      <c r="C24" s="238">
        <v>2.2839999999999998</v>
      </c>
      <c r="D24" s="239">
        <v>2.887</v>
      </c>
      <c r="E24" s="73">
        <f t="shared" si="0"/>
        <v>-0.34325744308231165</v>
      </c>
      <c r="F24" s="71">
        <f t="shared" si="1"/>
        <v>-0.48042951160374092</v>
      </c>
      <c r="G24" s="215">
        <f>B24+Jul!G24</f>
        <v>11.9</v>
      </c>
      <c r="H24" s="215">
        <f>C24+Jul!H24</f>
        <v>13.326999999999998</v>
      </c>
      <c r="I24" s="243">
        <v>15.903</v>
      </c>
      <c r="J24" s="73">
        <f t="shared" si="2"/>
        <v>-0.10707586103399103</v>
      </c>
      <c r="K24" s="44">
        <f t="shared" si="3"/>
        <v>-0.25171351317361501</v>
      </c>
    </row>
    <row r="25" spans="1:11">
      <c r="A25" s="7" t="s">
        <v>19</v>
      </c>
      <c r="B25" s="314">
        <v>1.9</v>
      </c>
      <c r="C25" s="238">
        <v>1.823</v>
      </c>
      <c r="D25" s="239">
        <v>1.5269999999999999</v>
      </c>
      <c r="E25" s="73">
        <f t="shared" si="0"/>
        <v>4.2238069116840249E-2</v>
      </c>
      <c r="F25" s="71">
        <f t="shared" si="1"/>
        <v>0.24426981008513415</v>
      </c>
      <c r="G25" s="215">
        <f>B25+Jul!G25</f>
        <v>8.6000000000000014</v>
      </c>
      <c r="H25" s="215">
        <f>C25+Jul!H25</f>
        <v>8.9420000000000002</v>
      </c>
      <c r="I25" s="243">
        <v>9.0619999999999994</v>
      </c>
      <c r="J25" s="73">
        <f t="shared" si="2"/>
        <v>-3.8246477298143455E-2</v>
      </c>
      <c r="K25" s="44">
        <f t="shared" si="3"/>
        <v>-5.0982123151621983E-2</v>
      </c>
    </row>
    <row r="26" spans="1:11">
      <c r="A26" s="7"/>
      <c r="B26" s="314"/>
      <c r="C26" s="238"/>
      <c r="D26" s="239"/>
      <c r="E26" s="73"/>
      <c r="F26" s="71"/>
      <c r="G26" s="215"/>
      <c r="H26" s="215"/>
      <c r="I26" s="243"/>
      <c r="J26" s="73"/>
      <c r="K26" s="44"/>
    </row>
    <row r="27" spans="1:11">
      <c r="A27" s="7" t="s">
        <v>20</v>
      </c>
      <c r="B27" s="314">
        <f>SUM(B28:B33)</f>
        <v>4.3</v>
      </c>
      <c r="C27" s="238">
        <v>3.8029999999999999</v>
      </c>
      <c r="D27" s="239">
        <v>5.2430000000000003</v>
      </c>
      <c r="E27" s="73">
        <f t="shared" si="0"/>
        <v>0.13068630028924533</v>
      </c>
      <c r="F27" s="71">
        <f t="shared" si="1"/>
        <v>-0.17985885943162316</v>
      </c>
      <c r="G27" s="215">
        <f>B27+Jul!G27</f>
        <v>43.8</v>
      </c>
      <c r="H27" s="215">
        <f>C27+Jul!H27</f>
        <v>39.380000000000003</v>
      </c>
      <c r="I27" s="243">
        <v>41.578000000000003</v>
      </c>
      <c r="J27" s="73">
        <f t="shared" si="2"/>
        <v>0.11223971559167079</v>
      </c>
      <c r="K27" s="44">
        <f t="shared" si="3"/>
        <v>5.3441723988647771E-2</v>
      </c>
    </row>
    <row r="28" spans="1:11">
      <c r="A28" s="7" t="s">
        <v>21</v>
      </c>
      <c r="B28" s="314">
        <v>1.3</v>
      </c>
      <c r="C28" s="238">
        <v>0.84899999999999998</v>
      </c>
      <c r="D28" s="239">
        <v>1.3380000000000001</v>
      </c>
      <c r="E28" s="73">
        <f t="shared" si="0"/>
        <v>0.53121319199057715</v>
      </c>
      <c r="F28" s="71">
        <f t="shared" si="1"/>
        <v>-2.840059790732441E-2</v>
      </c>
      <c r="G28" s="215">
        <f>B28+Jul!G28</f>
        <v>15.600000000000001</v>
      </c>
      <c r="H28" s="215">
        <f>C28+Jul!H28</f>
        <v>11.977000000000002</v>
      </c>
      <c r="I28" s="243">
        <v>12.497999999999999</v>
      </c>
      <c r="J28" s="73">
        <f t="shared" si="2"/>
        <v>0.30249645153210314</v>
      </c>
      <c r="K28" s="44">
        <f t="shared" si="3"/>
        <v>0.24819971195391277</v>
      </c>
    </row>
    <row r="29" spans="1:11">
      <c r="A29" s="7" t="s">
        <v>22</v>
      </c>
      <c r="B29" s="314">
        <v>0.1</v>
      </c>
      <c r="C29" s="238">
        <v>0.156</v>
      </c>
      <c r="D29" s="239">
        <v>0.17499999999999999</v>
      </c>
      <c r="E29" s="73">
        <f t="shared" si="0"/>
        <v>-0.35897435897435892</v>
      </c>
      <c r="F29" s="71">
        <f t="shared" si="1"/>
        <v>-0.42857142857142849</v>
      </c>
      <c r="G29" s="215">
        <f>B29+Jul!G29</f>
        <v>6.1</v>
      </c>
      <c r="H29" s="215">
        <f>C29+Jul!H29</f>
        <v>8.0860000000000003</v>
      </c>
      <c r="I29" s="243">
        <v>5.56</v>
      </c>
      <c r="J29" s="73">
        <f t="shared" si="2"/>
        <v>-0.24560969577046754</v>
      </c>
      <c r="K29" s="44">
        <f t="shared" si="3"/>
        <v>9.7122302158273444E-2</v>
      </c>
    </row>
    <row r="30" spans="1:11">
      <c r="A30" s="7" t="s">
        <v>23</v>
      </c>
      <c r="B30" s="314">
        <v>0.3</v>
      </c>
      <c r="C30" s="238">
        <v>0.39900000000000002</v>
      </c>
      <c r="D30" s="239">
        <v>0.43099999999999999</v>
      </c>
      <c r="E30" s="73">
        <f t="shared" si="0"/>
        <v>-0.24812030075187974</v>
      </c>
      <c r="F30" s="71">
        <f t="shared" si="1"/>
        <v>-0.30394431554524359</v>
      </c>
      <c r="G30" s="215">
        <f>B30+Jul!G30</f>
        <v>2.2000000000000002</v>
      </c>
      <c r="H30" s="215">
        <f>C30+Jul!H30</f>
        <v>2.1269999999999998</v>
      </c>
      <c r="I30" s="243">
        <v>2.4769999999999999</v>
      </c>
      <c r="J30" s="73">
        <f t="shared" si="2"/>
        <v>3.4320639398213615E-2</v>
      </c>
      <c r="K30" s="44">
        <f t="shared" si="3"/>
        <v>-0.11182882519176407</v>
      </c>
    </row>
    <row r="31" spans="1:11">
      <c r="A31" s="6" t="s">
        <v>24</v>
      </c>
      <c r="B31" s="314">
        <v>0.2</v>
      </c>
      <c r="C31" s="238">
        <v>0.35</v>
      </c>
      <c r="D31" s="239">
        <v>0.90900000000000003</v>
      </c>
      <c r="E31" s="73">
        <f t="shared" si="0"/>
        <v>-0.42857142857142849</v>
      </c>
      <c r="F31" s="71">
        <f t="shared" si="1"/>
        <v>-0.77997799779977994</v>
      </c>
      <c r="G31" s="215">
        <f>B31+Jul!G31</f>
        <v>3.4999999999999996</v>
      </c>
      <c r="H31" s="215">
        <f>C31+Jul!H31</f>
        <v>3.3020000000000005</v>
      </c>
      <c r="I31" s="243">
        <v>6.3929999999999998</v>
      </c>
      <c r="J31" s="73">
        <f t="shared" si="2"/>
        <v>5.9963658388854979E-2</v>
      </c>
      <c r="K31" s="44">
        <f t="shared" si="3"/>
        <v>-0.45252620053183179</v>
      </c>
    </row>
    <row r="32" spans="1:11">
      <c r="A32" s="6" t="s">
        <v>25</v>
      </c>
      <c r="B32" s="314">
        <v>0.1</v>
      </c>
      <c r="C32" s="238">
        <v>0.59299999999999997</v>
      </c>
      <c r="D32" s="239">
        <v>0.40799999999999997</v>
      </c>
      <c r="E32" s="73">
        <f t="shared" si="0"/>
        <v>-0.83136593591905561</v>
      </c>
      <c r="F32" s="71">
        <f t="shared" si="1"/>
        <v>-0.75490196078431371</v>
      </c>
      <c r="G32" s="215">
        <f>B32+Jul!G32</f>
        <v>2.1</v>
      </c>
      <c r="H32" s="215">
        <f>C32+Jul!H32</f>
        <v>2.2320000000000002</v>
      </c>
      <c r="I32" s="243">
        <v>2.0680000000000001</v>
      </c>
      <c r="J32" s="73">
        <f t="shared" si="2"/>
        <v>-5.9139784946236618E-2</v>
      </c>
      <c r="K32" s="44">
        <f t="shared" si="3"/>
        <v>1.5473887814313469E-2</v>
      </c>
    </row>
    <row r="33" spans="1:11">
      <c r="A33" s="7" t="s">
        <v>19</v>
      </c>
      <c r="B33" s="314">
        <v>2.2999999999999998</v>
      </c>
      <c r="C33" s="238">
        <v>1.456</v>
      </c>
      <c r="D33" s="239">
        <v>1.982</v>
      </c>
      <c r="E33" s="73">
        <f t="shared" si="0"/>
        <v>0.57967032967032961</v>
      </c>
      <c r="F33" s="71">
        <f t="shared" si="1"/>
        <v>0.16044399596367298</v>
      </c>
      <c r="G33" s="215">
        <f>B33+Jul!G33</f>
        <v>14.2</v>
      </c>
      <c r="H33" s="215">
        <f>C33+Jul!H33</f>
        <v>11.656000000000001</v>
      </c>
      <c r="I33" s="243">
        <v>12.582000000000001</v>
      </c>
      <c r="J33" s="73">
        <f t="shared" si="2"/>
        <v>0.21825669183253238</v>
      </c>
      <c r="K33" s="44">
        <f t="shared" si="3"/>
        <v>0.12859640756636459</v>
      </c>
    </row>
    <row r="34" spans="1:11">
      <c r="A34" s="2"/>
      <c r="B34" s="314"/>
      <c r="C34" s="238"/>
      <c r="D34" s="239"/>
      <c r="E34" s="73"/>
      <c r="F34" s="71"/>
      <c r="G34" s="215"/>
      <c r="H34" s="215"/>
      <c r="I34" s="243"/>
      <c r="J34" s="73"/>
      <c r="K34" s="44"/>
    </row>
    <row r="35" spans="1:11">
      <c r="A35" s="7" t="s">
        <v>26</v>
      </c>
      <c r="B35" s="314">
        <f>B36+SUM(B41:B51)+SUM(B54:B57)+SUM(B63:B77)</f>
        <v>149.30000000000001</v>
      </c>
      <c r="C35" s="238">
        <v>132.95099999999999</v>
      </c>
      <c r="D35" s="239">
        <v>145.17699999999999</v>
      </c>
      <c r="E35" s="73">
        <f t="shared" si="0"/>
        <v>0.12297011680995262</v>
      </c>
      <c r="F35" s="71">
        <f t="shared" si="1"/>
        <v>2.8399815397756045E-2</v>
      </c>
      <c r="G35" s="215">
        <f>B35+Jul!G35</f>
        <v>1236.7</v>
      </c>
      <c r="H35" s="215">
        <f>C35+Jul!H35</f>
        <v>1030.421</v>
      </c>
      <c r="I35" s="243">
        <v>1097.3019999999999</v>
      </c>
      <c r="J35" s="73">
        <f t="shared" si="2"/>
        <v>0.20018904894213141</v>
      </c>
      <c r="K35" s="44">
        <f t="shared" si="3"/>
        <v>0.12703704176243202</v>
      </c>
    </row>
    <row r="36" spans="1:11">
      <c r="A36" s="7" t="s">
        <v>27</v>
      </c>
      <c r="B36" s="314">
        <f>SUM(B37:B40)</f>
        <v>2.7</v>
      </c>
      <c r="C36" s="238">
        <v>2.3719999999999999</v>
      </c>
      <c r="D36" s="239">
        <v>3.1549999999999998</v>
      </c>
      <c r="E36" s="73">
        <f t="shared" si="0"/>
        <v>0.13827993254637461</v>
      </c>
      <c r="F36" s="71">
        <f t="shared" si="1"/>
        <v>-0.14421553090332795</v>
      </c>
      <c r="G36" s="215">
        <f>B36+Jul!G36</f>
        <v>44.800000000000004</v>
      </c>
      <c r="H36" s="215">
        <f>C36+Jul!H36</f>
        <v>40.484000000000002</v>
      </c>
      <c r="I36" s="243">
        <v>44.07</v>
      </c>
      <c r="J36" s="73">
        <f t="shared" si="2"/>
        <v>0.10661001877284848</v>
      </c>
      <c r="K36" s="44">
        <f t="shared" si="3"/>
        <v>1.6564556387565377E-2</v>
      </c>
    </row>
    <row r="37" spans="1:11">
      <c r="A37" s="7" t="s">
        <v>28</v>
      </c>
      <c r="B37" s="314">
        <v>0.3</v>
      </c>
      <c r="C37" s="238">
        <v>0.28100000000000003</v>
      </c>
      <c r="D37" s="239">
        <v>0.39500000000000002</v>
      </c>
      <c r="E37" s="73">
        <f t="shared" si="0"/>
        <v>6.7615658362989217E-2</v>
      </c>
      <c r="F37" s="71">
        <f t="shared" si="1"/>
        <v>-0.24050632911392411</v>
      </c>
      <c r="G37" s="215">
        <f>B37+Jul!G37</f>
        <v>9.2000000000000011</v>
      </c>
      <c r="H37" s="215">
        <f>C37+Jul!H37</f>
        <v>8.2460000000000004</v>
      </c>
      <c r="I37" s="243">
        <v>6.9859999999999998</v>
      </c>
      <c r="J37" s="73">
        <f t="shared" si="2"/>
        <v>0.1156924569488238</v>
      </c>
      <c r="K37" s="44">
        <f t="shared" si="3"/>
        <v>0.31691955339249955</v>
      </c>
    </row>
    <row r="38" spans="1:11">
      <c r="A38" s="7" t="s">
        <v>29</v>
      </c>
      <c r="B38" s="314">
        <v>1.1000000000000001</v>
      </c>
      <c r="C38" s="238">
        <v>0.92900000000000005</v>
      </c>
      <c r="D38" s="239">
        <v>1.2050000000000001</v>
      </c>
      <c r="E38" s="73">
        <f t="shared" si="0"/>
        <v>0.18406889128094739</v>
      </c>
      <c r="F38" s="71">
        <f t="shared" si="1"/>
        <v>-8.7136929460580936E-2</v>
      </c>
      <c r="G38" s="215">
        <f>B38+Jul!G38</f>
        <v>15.9</v>
      </c>
      <c r="H38" s="215">
        <f>C38+Jul!H38</f>
        <v>13.351999999999999</v>
      </c>
      <c r="I38" s="243">
        <v>15.589</v>
      </c>
      <c r="J38" s="73">
        <f t="shared" si="2"/>
        <v>0.19083283403235485</v>
      </c>
      <c r="K38" s="44">
        <f t="shared" si="3"/>
        <v>1.9949964718711799E-2</v>
      </c>
    </row>
    <row r="39" spans="1:11">
      <c r="A39" s="7" t="s">
        <v>30</v>
      </c>
      <c r="B39" s="314">
        <v>0.5</v>
      </c>
      <c r="C39" s="238">
        <v>0.377</v>
      </c>
      <c r="D39" s="239">
        <v>0.55100000000000005</v>
      </c>
      <c r="E39" s="73">
        <f t="shared" si="0"/>
        <v>0.32625994694960214</v>
      </c>
      <c r="F39" s="71">
        <f t="shared" si="1"/>
        <v>-9.2558983666061745E-2</v>
      </c>
      <c r="G39" s="215">
        <f>B39+Jul!G39</f>
        <v>7.8</v>
      </c>
      <c r="H39" s="215">
        <f>C39+Jul!H39</f>
        <v>7.2839999999999998</v>
      </c>
      <c r="I39" s="243">
        <v>8.2409999999999997</v>
      </c>
      <c r="J39" s="73">
        <f t="shared" si="2"/>
        <v>7.0840197693574858E-2</v>
      </c>
      <c r="K39" s="44">
        <f t="shared" si="3"/>
        <v>-5.3512923188933414E-2</v>
      </c>
    </row>
    <row r="40" spans="1:11">
      <c r="A40" s="7" t="s">
        <v>31</v>
      </c>
      <c r="B40" s="314">
        <v>0.8</v>
      </c>
      <c r="C40" s="238">
        <v>0.75800000000000001</v>
      </c>
      <c r="D40" s="239">
        <v>0.97199999999999998</v>
      </c>
      <c r="E40" s="73">
        <f t="shared" si="0"/>
        <v>5.5408970976253302E-2</v>
      </c>
      <c r="F40" s="71">
        <f t="shared" si="1"/>
        <v>-0.17695473251028804</v>
      </c>
      <c r="G40" s="215">
        <f>B40+Jul!G40</f>
        <v>11.9</v>
      </c>
      <c r="H40" s="215">
        <f>C40+Jul!H40</f>
        <v>11.341999999999999</v>
      </c>
      <c r="I40" s="243">
        <v>12.962</v>
      </c>
      <c r="J40" s="73">
        <f t="shared" si="2"/>
        <v>4.9197672368189282E-2</v>
      </c>
      <c r="K40" s="44">
        <f t="shared" si="3"/>
        <v>-8.1931800648048059E-2</v>
      </c>
    </row>
    <row r="41" spans="1:11">
      <c r="A41" s="7" t="s">
        <v>32</v>
      </c>
      <c r="B41" s="314">
        <v>19.8</v>
      </c>
      <c r="C41" s="238">
        <v>17.053000000000001</v>
      </c>
      <c r="D41" s="239">
        <v>17.872</v>
      </c>
      <c r="E41" s="73">
        <f t="shared" si="0"/>
        <v>0.16108602591919308</v>
      </c>
      <c r="F41" s="71">
        <f t="shared" si="1"/>
        <v>0.10787824529991052</v>
      </c>
      <c r="G41" s="215">
        <f>B41+Jul!G41</f>
        <v>131.20000000000002</v>
      </c>
      <c r="H41" s="215">
        <f>C41+Jul!H41</f>
        <v>119.057</v>
      </c>
      <c r="I41" s="243">
        <v>118.169</v>
      </c>
      <c r="J41" s="73">
        <f t="shared" si="2"/>
        <v>0.10199316293876048</v>
      </c>
      <c r="K41" s="44">
        <f t="shared" si="3"/>
        <v>0.11027426820909048</v>
      </c>
    </row>
    <row r="42" spans="1:11">
      <c r="A42" s="7" t="s">
        <v>33</v>
      </c>
      <c r="B42" s="314">
        <v>0.5</v>
      </c>
      <c r="C42" s="238">
        <v>0.64400000000000002</v>
      </c>
      <c r="D42" s="239">
        <v>0.56399999999999995</v>
      </c>
      <c r="E42" s="73">
        <f t="shared" si="0"/>
        <v>-0.22360248447204967</v>
      </c>
      <c r="F42" s="71">
        <f t="shared" si="1"/>
        <v>-0.11347517730496448</v>
      </c>
      <c r="G42" s="215">
        <f>B42+Jul!G42</f>
        <v>5.9</v>
      </c>
      <c r="H42" s="215">
        <f>C42+Jul!H42</f>
        <v>5.6339999999999995</v>
      </c>
      <c r="I42" s="243">
        <v>5.1619999999999999</v>
      </c>
      <c r="J42" s="73">
        <f t="shared" si="2"/>
        <v>4.7213347532836458E-2</v>
      </c>
      <c r="K42" s="44">
        <f t="shared" si="3"/>
        <v>0.14296784192173595</v>
      </c>
    </row>
    <row r="43" spans="1:11">
      <c r="A43" s="7" t="s">
        <v>34</v>
      </c>
      <c r="B43" s="314">
        <v>3.3</v>
      </c>
      <c r="C43" s="238">
        <v>3.0009999999999999</v>
      </c>
      <c r="D43" s="239">
        <v>2.8980000000000001</v>
      </c>
      <c r="E43" s="73">
        <f t="shared" si="0"/>
        <v>9.9633455514828384E-2</v>
      </c>
      <c r="F43" s="71">
        <f t="shared" si="1"/>
        <v>0.13871635610766031</v>
      </c>
      <c r="G43" s="215">
        <f>B43+Jul!G43</f>
        <v>40.200000000000003</v>
      </c>
      <c r="H43" s="215">
        <f>C43+Jul!H43</f>
        <v>32.197000000000003</v>
      </c>
      <c r="I43" s="243">
        <v>32.177999999999997</v>
      </c>
      <c r="J43" s="73">
        <f t="shared" si="2"/>
        <v>0.24856353076373572</v>
      </c>
      <c r="K43" s="44">
        <f t="shared" si="3"/>
        <v>0.24930076449748295</v>
      </c>
    </row>
    <row r="44" spans="1:11">
      <c r="A44" s="7" t="s">
        <v>35</v>
      </c>
      <c r="B44" s="314">
        <v>2.6</v>
      </c>
      <c r="C44" s="238">
        <v>2.1139999999999999</v>
      </c>
      <c r="D44" s="239">
        <v>2.524</v>
      </c>
      <c r="E44" s="73">
        <f t="shared" si="0"/>
        <v>0.22989593188268698</v>
      </c>
      <c r="F44" s="71">
        <f t="shared" si="1"/>
        <v>3.0110935023771823E-2</v>
      </c>
      <c r="G44" s="215">
        <f>B44+Jul!G44</f>
        <v>23.1</v>
      </c>
      <c r="H44" s="215">
        <f>C44+Jul!H44</f>
        <v>21.187999999999999</v>
      </c>
      <c r="I44" s="243">
        <v>21.913</v>
      </c>
      <c r="J44" s="73">
        <f t="shared" si="2"/>
        <v>9.0239758353785282E-2</v>
      </c>
      <c r="K44" s="44">
        <f t="shared" si="3"/>
        <v>5.4168758271345929E-2</v>
      </c>
    </row>
    <row r="45" spans="1:11">
      <c r="A45" s="6" t="s">
        <v>36</v>
      </c>
      <c r="B45" s="314">
        <v>39</v>
      </c>
      <c r="C45" s="238">
        <v>38.979999999999997</v>
      </c>
      <c r="D45" s="239">
        <v>42.816000000000003</v>
      </c>
      <c r="E45" s="73">
        <f t="shared" si="0"/>
        <v>5.1308363263213863E-4</v>
      </c>
      <c r="F45" s="71">
        <f t="shared" si="1"/>
        <v>-8.9125560538116599E-2</v>
      </c>
      <c r="G45" s="215">
        <f>B45+Jul!G45</f>
        <v>211</v>
      </c>
      <c r="H45" s="215">
        <f>C45+Jul!H45</f>
        <v>199.904</v>
      </c>
      <c r="I45" s="243">
        <v>212.815</v>
      </c>
      <c r="J45" s="73">
        <f t="shared" si="2"/>
        <v>5.5506643188730553E-2</v>
      </c>
      <c r="K45" s="44">
        <f t="shared" si="3"/>
        <v>-8.5285341728731368E-3</v>
      </c>
    </row>
    <row r="46" spans="1:11">
      <c r="A46" s="6" t="s">
        <v>37</v>
      </c>
      <c r="B46" s="314">
        <v>11.2</v>
      </c>
      <c r="C46" s="238">
        <v>8.66</v>
      </c>
      <c r="D46" s="239">
        <v>11.128</v>
      </c>
      <c r="E46" s="73">
        <f t="shared" si="0"/>
        <v>0.29330254041570436</v>
      </c>
      <c r="F46" s="71">
        <f t="shared" si="1"/>
        <v>6.4701653486698429E-3</v>
      </c>
      <c r="G46" s="215">
        <f>B46+Jul!G46</f>
        <v>65.399999999999991</v>
      </c>
      <c r="H46" s="215">
        <f>C46+Jul!H46</f>
        <v>50.864000000000004</v>
      </c>
      <c r="I46" s="243">
        <v>59.95</v>
      </c>
      <c r="J46" s="73">
        <f t="shared" si="2"/>
        <v>0.28578169235608653</v>
      </c>
      <c r="K46" s="44">
        <f t="shared" si="3"/>
        <v>9.0909090909090606E-2</v>
      </c>
    </row>
    <row r="47" spans="1:11">
      <c r="A47" s="7" t="s">
        <v>38</v>
      </c>
      <c r="B47" s="314">
        <v>2.8</v>
      </c>
      <c r="C47" s="238">
        <v>2.2469999999999999</v>
      </c>
      <c r="D47" s="239">
        <v>2.677</v>
      </c>
      <c r="E47" s="73">
        <f t="shared" si="0"/>
        <v>0.24610591900311518</v>
      </c>
      <c r="F47" s="71">
        <f t="shared" si="1"/>
        <v>4.5946955547254253E-2</v>
      </c>
      <c r="G47" s="215">
        <f>B47+Jul!G47</f>
        <v>29.7</v>
      </c>
      <c r="H47" s="215">
        <f>C47+Jul!H47</f>
        <v>25.387999999999998</v>
      </c>
      <c r="I47" s="243">
        <v>25.222999999999999</v>
      </c>
      <c r="J47" s="73">
        <f t="shared" si="2"/>
        <v>0.16984402079722716</v>
      </c>
      <c r="K47" s="44">
        <f t="shared" si="3"/>
        <v>0.17749672917575232</v>
      </c>
    </row>
    <row r="48" spans="1:11">
      <c r="A48" s="7" t="s">
        <v>39</v>
      </c>
      <c r="B48" s="314">
        <v>11.5</v>
      </c>
      <c r="C48" s="238">
        <v>9.516</v>
      </c>
      <c r="D48" s="239">
        <v>11.369</v>
      </c>
      <c r="E48" s="73">
        <f t="shared" si="0"/>
        <v>0.2084909625893232</v>
      </c>
      <c r="F48" s="71">
        <f t="shared" si="1"/>
        <v>1.1522561351042349E-2</v>
      </c>
      <c r="G48" s="215">
        <f>B48+Jul!G48</f>
        <v>128.69999999999999</v>
      </c>
      <c r="H48" s="215">
        <f>C48+Jul!H48</f>
        <v>99.887000000000015</v>
      </c>
      <c r="I48" s="243">
        <v>101.157</v>
      </c>
      <c r="J48" s="73">
        <f t="shared" si="2"/>
        <v>0.28845595522940903</v>
      </c>
      <c r="K48" s="44">
        <f t="shared" si="3"/>
        <v>0.27227972359797148</v>
      </c>
    </row>
    <row r="49" spans="1:11">
      <c r="A49" s="7" t="s">
        <v>40</v>
      </c>
      <c r="B49" s="314">
        <v>2</v>
      </c>
      <c r="C49" s="238">
        <v>1.5820000000000001</v>
      </c>
      <c r="D49" s="239">
        <v>1.7909999999999999</v>
      </c>
      <c r="E49" s="73">
        <f t="shared" si="0"/>
        <v>0.26422250316055629</v>
      </c>
      <c r="F49" s="71">
        <f t="shared" si="1"/>
        <v>0.11669458403126742</v>
      </c>
      <c r="G49" s="215">
        <f>B49+Jul!G49</f>
        <v>18.800000000000004</v>
      </c>
      <c r="H49" s="215">
        <f>C49+Jul!H49</f>
        <v>15.176</v>
      </c>
      <c r="I49" s="243">
        <v>15.619</v>
      </c>
      <c r="J49" s="73">
        <f t="shared" si="2"/>
        <v>0.23879810226673714</v>
      </c>
      <c r="K49" s="44">
        <f t="shared" si="3"/>
        <v>0.20366220628721465</v>
      </c>
    </row>
    <row r="50" spans="1:11">
      <c r="A50" s="6" t="s">
        <v>41</v>
      </c>
      <c r="B50" s="314">
        <v>6.2</v>
      </c>
      <c r="C50" s="238">
        <v>4.3380000000000001</v>
      </c>
      <c r="D50" s="239">
        <v>5.2919999999999998</v>
      </c>
      <c r="E50" s="73">
        <f t="shared" si="0"/>
        <v>0.42923005993545416</v>
      </c>
      <c r="F50" s="71">
        <f t="shared" si="1"/>
        <v>0.17157974300831458</v>
      </c>
      <c r="G50" s="215">
        <f>B50+Jul!G50</f>
        <v>38.400000000000006</v>
      </c>
      <c r="H50" s="215">
        <f>C50+Jul!H50</f>
        <v>27.404</v>
      </c>
      <c r="I50" s="243">
        <v>29.577000000000002</v>
      </c>
      <c r="J50" s="73">
        <f t="shared" si="2"/>
        <v>0.40125529119836534</v>
      </c>
      <c r="K50" s="44">
        <f t="shared" si="3"/>
        <v>0.29830611623896952</v>
      </c>
    </row>
    <row r="51" spans="1:11">
      <c r="A51" s="7" t="s">
        <v>42</v>
      </c>
      <c r="B51" s="314">
        <v>1.6</v>
      </c>
      <c r="C51" s="238">
        <v>0.95699999999999996</v>
      </c>
      <c r="D51" s="239">
        <v>1.0049999999999999</v>
      </c>
      <c r="E51" s="73">
        <f t="shared" si="0"/>
        <v>0.671891327063741</v>
      </c>
      <c r="F51" s="71">
        <f t="shared" si="1"/>
        <v>0.59203980099502518</v>
      </c>
      <c r="G51" s="215">
        <f>B51+Jul!G51</f>
        <v>7</v>
      </c>
      <c r="H51" s="215">
        <f>C51+Jul!H51</f>
        <v>5.2210000000000001</v>
      </c>
      <c r="I51" s="243">
        <v>5.56</v>
      </c>
      <c r="J51" s="73">
        <f t="shared" si="2"/>
        <v>0.34073932196897139</v>
      </c>
      <c r="K51" s="44">
        <f t="shared" si="3"/>
        <v>0.25899280575539585</v>
      </c>
    </row>
    <row r="52" spans="1:11">
      <c r="A52" s="7"/>
      <c r="B52" s="314"/>
      <c r="C52" s="238"/>
      <c r="D52" s="239"/>
      <c r="E52" s="73"/>
      <c r="F52" s="71"/>
      <c r="G52" s="215"/>
      <c r="H52" s="215"/>
      <c r="I52" s="243"/>
      <c r="J52" s="73"/>
      <c r="K52" s="44"/>
    </row>
    <row r="53" spans="1:11">
      <c r="A53" s="7" t="s">
        <v>43</v>
      </c>
      <c r="B53" s="314">
        <f>SUM(B54:B60)</f>
        <v>32.599999999999994</v>
      </c>
      <c r="C53" s="238">
        <v>28.113</v>
      </c>
      <c r="D53" s="239">
        <v>29.651</v>
      </c>
      <c r="E53" s="73">
        <f t="shared" si="0"/>
        <v>0.15960587628499256</v>
      </c>
      <c r="F53" s="71">
        <f t="shared" si="1"/>
        <v>9.9457016626757877E-2</v>
      </c>
      <c r="G53" s="215">
        <f>B53+Jul!G53</f>
        <v>320.79999999999995</v>
      </c>
      <c r="H53" s="215">
        <f>C53+Jul!H53</f>
        <v>256.75099999999998</v>
      </c>
      <c r="I53" s="243">
        <v>292.69799999999998</v>
      </c>
      <c r="J53" s="73">
        <f t="shared" si="2"/>
        <v>0.24945959314666744</v>
      </c>
      <c r="K53" s="44">
        <f t="shared" si="3"/>
        <v>9.6010222140226364E-2</v>
      </c>
    </row>
    <row r="54" spans="1:11">
      <c r="A54" s="7" t="s">
        <v>44</v>
      </c>
      <c r="B54" s="314">
        <v>18.399999999999999</v>
      </c>
      <c r="C54" s="238">
        <v>15.401999999999999</v>
      </c>
      <c r="D54" s="239">
        <v>18.606999999999999</v>
      </c>
      <c r="E54" s="73">
        <f t="shared" si="0"/>
        <v>0.19465004544864306</v>
      </c>
      <c r="F54" s="71">
        <f t="shared" si="1"/>
        <v>-1.1124845488257096E-2</v>
      </c>
      <c r="G54" s="215">
        <f>B54+Jul!G54</f>
        <v>199</v>
      </c>
      <c r="H54" s="215">
        <f>C54+Jul!H54</f>
        <v>155.096</v>
      </c>
      <c r="I54" s="243">
        <v>200.81700000000001</v>
      </c>
      <c r="J54" s="73">
        <f t="shared" si="2"/>
        <v>0.2830762882343838</v>
      </c>
      <c r="K54" s="44">
        <f t="shared" si="3"/>
        <v>-9.0480387616586055E-3</v>
      </c>
    </row>
    <row r="55" spans="1:11">
      <c r="A55" s="7" t="s">
        <v>45</v>
      </c>
      <c r="B55" s="314">
        <v>9</v>
      </c>
      <c r="C55" s="238">
        <v>9.0760000000000005</v>
      </c>
      <c r="D55" s="239">
        <v>7.6920000000000002</v>
      </c>
      <c r="E55" s="73">
        <f t="shared" si="0"/>
        <v>-8.3737329219921719E-3</v>
      </c>
      <c r="F55" s="71">
        <f t="shared" si="1"/>
        <v>0.17004680187207488</v>
      </c>
      <c r="G55" s="215">
        <f>B55+Jul!G55</f>
        <v>88.4</v>
      </c>
      <c r="H55" s="215">
        <f>C55+Jul!H55</f>
        <v>76.462999999999994</v>
      </c>
      <c r="I55" s="243">
        <v>68.692999999999998</v>
      </c>
      <c r="J55" s="73">
        <f t="shared" si="2"/>
        <v>0.15611472215319844</v>
      </c>
      <c r="K55" s="44">
        <f t="shared" si="3"/>
        <v>0.28688512657767173</v>
      </c>
    </row>
    <row r="56" spans="1:11">
      <c r="A56" s="7" t="s">
        <v>46</v>
      </c>
      <c r="B56" s="314">
        <v>2.2999999999999998</v>
      </c>
      <c r="C56" s="238">
        <v>1.806</v>
      </c>
      <c r="D56" s="239">
        <v>1.4</v>
      </c>
      <c r="E56" s="73">
        <f t="shared" si="0"/>
        <v>0.27353266888150585</v>
      </c>
      <c r="F56" s="71">
        <f t="shared" si="1"/>
        <v>0.64285714285714279</v>
      </c>
      <c r="G56" s="215">
        <f>B56+Jul!G56</f>
        <v>14.400000000000002</v>
      </c>
      <c r="H56" s="215">
        <f>C56+Jul!H56</f>
        <v>13.224</v>
      </c>
      <c r="I56" s="243">
        <v>9.6460000000000008</v>
      </c>
      <c r="J56" s="73">
        <f t="shared" si="2"/>
        <v>8.8929219600726084E-2</v>
      </c>
      <c r="K56" s="44">
        <f t="shared" si="3"/>
        <v>0.49284677586564385</v>
      </c>
    </row>
    <row r="57" spans="1:11">
      <c r="A57" s="7" t="s">
        <v>47</v>
      </c>
      <c r="B57" s="314">
        <v>1</v>
      </c>
      <c r="C57" s="238">
        <v>0.91</v>
      </c>
      <c r="D57" s="239">
        <v>0.72799999999999998</v>
      </c>
      <c r="E57" s="73">
        <f t="shared" si="0"/>
        <v>9.8901098901098772E-2</v>
      </c>
      <c r="F57" s="71">
        <f t="shared" si="1"/>
        <v>0.37362637362637363</v>
      </c>
      <c r="G57" s="215">
        <f>B57+Jul!G57</f>
        <v>6.7</v>
      </c>
      <c r="H57" s="215">
        <f>C57+Jul!H57</f>
        <v>5.218</v>
      </c>
      <c r="I57" s="243">
        <v>4.9050000000000002</v>
      </c>
      <c r="J57" s="73">
        <f t="shared" si="2"/>
        <v>0.28401686469911858</v>
      </c>
      <c r="K57" s="44">
        <f t="shared" si="3"/>
        <v>0.3659531090723751</v>
      </c>
    </row>
    <row r="58" spans="1:11">
      <c r="A58" s="7" t="s">
        <v>48</v>
      </c>
      <c r="B58" s="314">
        <v>0.4</v>
      </c>
      <c r="C58" s="238">
        <v>0.42299999999999999</v>
      </c>
      <c r="D58" s="239">
        <v>0.501</v>
      </c>
      <c r="E58" s="73">
        <f t="shared" si="0"/>
        <v>-5.4373522458628809E-2</v>
      </c>
      <c r="F58" s="71">
        <f t="shared" si="1"/>
        <v>-0.20159680638722555</v>
      </c>
      <c r="G58" s="215">
        <f>B58+Jul!G58</f>
        <v>2.6</v>
      </c>
      <c r="H58" s="215">
        <f>C58+Jul!H58</f>
        <v>2.6</v>
      </c>
      <c r="I58" s="243">
        <v>2.4649999999999999</v>
      </c>
      <c r="J58" s="73">
        <f t="shared" si="2"/>
        <v>0</v>
      </c>
      <c r="K58" s="44">
        <f t="shared" si="3"/>
        <v>5.476673427991896E-2</v>
      </c>
    </row>
    <row r="59" spans="1:11">
      <c r="A59" s="7" t="s">
        <v>87</v>
      </c>
      <c r="B59" s="314">
        <v>0.9</v>
      </c>
      <c r="C59" s="238">
        <v>0.45900000000000002</v>
      </c>
      <c r="D59" s="239">
        <v>0.64500000000000002</v>
      </c>
      <c r="E59" s="73">
        <f t="shared" si="0"/>
        <v>0.96078431372549011</v>
      </c>
      <c r="F59" s="71">
        <f t="shared" si="1"/>
        <v>0.39534883720930236</v>
      </c>
      <c r="G59" s="215">
        <f>B59+Jul!G59</f>
        <v>4.9000000000000004</v>
      </c>
      <c r="H59" s="215">
        <f>C59+Jul!H59</f>
        <v>3.5990000000000006</v>
      </c>
      <c r="I59" s="243">
        <v>5.3630000000000004</v>
      </c>
      <c r="J59" s="73">
        <f t="shared" si="2"/>
        <v>0.36148930258405088</v>
      </c>
      <c r="K59" s="44">
        <f t="shared" si="3"/>
        <v>-8.6332276710796241E-2</v>
      </c>
    </row>
    <row r="60" spans="1:11">
      <c r="A60" s="7" t="s">
        <v>49</v>
      </c>
      <c r="B60" s="314">
        <v>0.6</v>
      </c>
      <c r="C60" s="238">
        <v>3.6999999999999998E-2</v>
      </c>
      <c r="D60" s="239">
        <v>7.8E-2</v>
      </c>
      <c r="E60" s="73">
        <f t="shared" si="0"/>
        <v>15.216216216216218</v>
      </c>
      <c r="F60" s="71">
        <f t="shared" si="1"/>
        <v>6.6923076923076916</v>
      </c>
      <c r="G60" s="215">
        <f>B60+Jul!G60</f>
        <v>4.8</v>
      </c>
      <c r="H60" s="215">
        <f>C60+Jul!H60</f>
        <v>0.55100000000000005</v>
      </c>
      <c r="I60" s="243">
        <v>0.80900000000000005</v>
      </c>
      <c r="J60" s="73">
        <f t="shared" si="2"/>
        <v>7.7114337568058069</v>
      </c>
      <c r="K60" s="44">
        <f t="shared" si="3"/>
        <v>4.933250927070457</v>
      </c>
    </row>
    <row r="61" spans="1:11">
      <c r="A61" s="2"/>
      <c r="B61" s="314"/>
      <c r="C61" s="238"/>
      <c r="D61" s="239"/>
      <c r="E61" s="73"/>
      <c r="F61" s="71"/>
      <c r="G61" s="215"/>
      <c r="H61" s="215"/>
      <c r="I61" s="243"/>
      <c r="J61" s="73"/>
      <c r="K61" s="44"/>
    </row>
    <row r="62" spans="1:11">
      <c r="A62" s="7" t="s">
        <v>50</v>
      </c>
      <c r="B62" s="314">
        <v>1</v>
      </c>
      <c r="C62" s="238">
        <v>1.028</v>
      </c>
      <c r="D62" s="239">
        <v>0.80800000000000005</v>
      </c>
      <c r="E62" s="73">
        <f t="shared" si="0"/>
        <v>-2.7237354085603127E-2</v>
      </c>
      <c r="F62" s="71">
        <f t="shared" si="1"/>
        <v>0.23762376237623761</v>
      </c>
      <c r="G62" s="215">
        <f>B62+Jul!G62</f>
        <v>7.8</v>
      </c>
      <c r="H62" s="215">
        <f>C62+Jul!H62</f>
        <v>8.4659999999999993</v>
      </c>
      <c r="I62" s="243">
        <v>6.3639999999999999</v>
      </c>
      <c r="J62" s="73">
        <f t="shared" si="2"/>
        <v>-7.866761162296243E-2</v>
      </c>
      <c r="K62" s="44">
        <f t="shared" si="3"/>
        <v>0.22564424890006274</v>
      </c>
    </row>
    <row r="63" spans="1:11">
      <c r="A63" s="7" t="s">
        <v>51</v>
      </c>
      <c r="B63" s="314">
        <v>0.2</v>
      </c>
      <c r="C63" s="238">
        <v>0.12</v>
      </c>
      <c r="D63" s="239">
        <v>0.16500000000000001</v>
      </c>
      <c r="E63" s="73">
        <f t="shared" si="0"/>
        <v>0.66666666666666674</v>
      </c>
      <c r="F63" s="71">
        <f t="shared" si="1"/>
        <v>0.21212121212121215</v>
      </c>
      <c r="G63" s="215">
        <f>B63+Jul!G63</f>
        <v>2.1</v>
      </c>
      <c r="H63" s="215">
        <f>C63+Jul!H63</f>
        <v>1.641</v>
      </c>
      <c r="I63" s="243">
        <v>1.655</v>
      </c>
      <c r="J63" s="73">
        <f t="shared" si="2"/>
        <v>0.27970749542961615</v>
      </c>
      <c r="K63" s="44">
        <f t="shared" si="3"/>
        <v>0.2688821752265862</v>
      </c>
    </row>
    <row r="64" spans="1:11">
      <c r="A64" s="7" t="s">
        <v>52</v>
      </c>
      <c r="B64" s="314">
        <v>1</v>
      </c>
      <c r="C64" s="238">
        <v>0.27400000000000002</v>
      </c>
      <c r="D64" s="239">
        <v>0.30099999999999999</v>
      </c>
      <c r="E64" s="73">
        <f t="shared" si="0"/>
        <v>2.6496350364963499</v>
      </c>
      <c r="F64" s="71">
        <f t="shared" si="1"/>
        <v>2.3222591362126246</v>
      </c>
      <c r="G64" s="215">
        <f>B64+Jul!G64</f>
        <v>9.9</v>
      </c>
      <c r="H64" s="215">
        <f>C64+Jul!H64</f>
        <v>7.319</v>
      </c>
      <c r="I64" s="243">
        <v>5.2809999999999997</v>
      </c>
      <c r="J64" s="73">
        <f t="shared" si="2"/>
        <v>0.35264380379833327</v>
      </c>
      <c r="K64" s="44">
        <f t="shared" si="3"/>
        <v>0.87464495360727157</v>
      </c>
    </row>
    <row r="65" spans="1:14">
      <c r="A65" s="7" t="s">
        <v>53</v>
      </c>
      <c r="B65" s="314">
        <v>0.4</v>
      </c>
      <c r="C65" s="238">
        <v>0.40799999999999997</v>
      </c>
      <c r="D65" s="239">
        <v>0.246</v>
      </c>
      <c r="E65" s="73">
        <f t="shared" si="0"/>
        <v>-1.9607843137254832E-2</v>
      </c>
      <c r="F65" s="71">
        <f t="shared" si="1"/>
        <v>0.62601626016260181</v>
      </c>
      <c r="G65" s="215">
        <f>B65+Jul!G65</f>
        <v>7.0000000000000009</v>
      </c>
      <c r="H65" s="215">
        <f>C65+Jul!H65</f>
        <v>3.9899999999999998</v>
      </c>
      <c r="I65" s="243">
        <v>3.0790000000000002</v>
      </c>
      <c r="J65" s="73">
        <f t="shared" si="2"/>
        <v>0.75438596491228105</v>
      </c>
      <c r="K65" s="44">
        <f t="shared" si="3"/>
        <v>1.2734654108476779</v>
      </c>
    </row>
    <row r="66" spans="1:14">
      <c r="A66" s="2"/>
      <c r="B66" s="314"/>
      <c r="C66" s="238"/>
      <c r="D66" s="239"/>
      <c r="E66" s="73"/>
      <c r="F66" s="71"/>
      <c r="G66" s="215"/>
      <c r="H66" s="215"/>
      <c r="I66" s="243"/>
      <c r="J66" s="73"/>
      <c r="K66" s="44"/>
    </row>
    <row r="67" spans="1:14">
      <c r="A67" s="7" t="s">
        <v>54</v>
      </c>
      <c r="B67" s="314">
        <v>3.5</v>
      </c>
      <c r="C67" s="238">
        <v>2.1819999999999999</v>
      </c>
      <c r="D67" s="239">
        <v>2.3929999999999998</v>
      </c>
      <c r="E67" s="73">
        <f t="shared" si="0"/>
        <v>0.60403299725022919</v>
      </c>
      <c r="F67" s="71">
        <f t="shared" si="1"/>
        <v>0.46259924780610118</v>
      </c>
      <c r="G67" s="215">
        <f>B67+Jul!G67</f>
        <v>46.7</v>
      </c>
      <c r="H67" s="215">
        <f>C67+Jul!H67</f>
        <v>31.631999999999998</v>
      </c>
      <c r="I67" s="243">
        <v>39.625999999999998</v>
      </c>
      <c r="J67" s="73">
        <f t="shared" si="2"/>
        <v>0.47635306019221058</v>
      </c>
      <c r="K67" s="44">
        <f t="shared" si="3"/>
        <v>0.1785191540907487</v>
      </c>
    </row>
    <row r="68" spans="1:14">
      <c r="A68" s="7" t="s">
        <v>55</v>
      </c>
      <c r="B68" s="314">
        <v>0.8</v>
      </c>
      <c r="C68" s="238">
        <v>0.66800000000000004</v>
      </c>
      <c r="D68" s="239">
        <v>0.82599999999999996</v>
      </c>
      <c r="E68" s="73">
        <f t="shared" si="0"/>
        <v>0.19760479041916157</v>
      </c>
      <c r="F68" s="71">
        <f t="shared" si="1"/>
        <v>-3.1476997578692378E-2</v>
      </c>
      <c r="G68" s="215">
        <f>B68+Jul!G68</f>
        <v>12.7</v>
      </c>
      <c r="H68" s="215">
        <f>C68+Jul!H68</f>
        <v>9.7299999999999986</v>
      </c>
      <c r="I68" s="243">
        <v>10.346</v>
      </c>
      <c r="J68" s="73">
        <f t="shared" si="2"/>
        <v>0.30524152106885927</v>
      </c>
      <c r="K68" s="44">
        <f t="shared" si="3"/>
        <v>0.22752754687802046</v>
      </c>
    </row>
    <row r="69" spans="1:14">
      <c r="A69" s="7" t="s">
        <v>56</v>
      </c>
      <c r="B69" s="314">
        <v>0.3</v>
      </c>
      <c r="C69" s="238">
        <v>0.36599999999999999</v>
      </c>
      <c r="D69" s="239">
        <v>7.4999999999999997E-2</v>
      </c>
      <c r="E69" s="73">
        <f t="shared" si="0"/>
        <v>-0.18032786885245899</v>
      </c>
      <c r="F69" s="71">
        <f t="shared" si="1"/>
        <v>3</v>
      </c>
      <c r="G69" s="215">
        <f>B69+Jul!G69</f>
        <v>3.4999999999999996</v>
      </c>
      <c r="H69" s="215">
        <f>C69+Jul!H69</f>
        <v>2.5979999999999999</v>
      </c>
      <c r="I69" s="243">
        <v>1.9359999999999999</v>
      </c>
      <c r="J69" s="73">
        <f t="shared" si="2"/>
        <v>0.34719014626635869</v>
      </c>
      <c r="K69" s="44">
        <f t="shared" si="3"/>
        <v>0.80785123966942129</v>
      </c>
    </row>
    <row r="70" spans="1:14">
      <c r="A70" s="7" t="s">
        <v>88</v>
      </c>
      <c r="B70" s="314">
        <v>0.2</v>
      </c>
      <c r="C70" s="238">
        <v>9.5000000000000001E-2</v>
      </c>
      <c r="D70" s="239">
        <v>0.18</v>
      </c>
      <c r="E70" s="73">
        <f t="shared" ref="E70:E96" si="4">B70/C70-1</f>
        <v>1.1052631578947367</v>
      </c>
      <c r="F70" s="71">
        <f t="shared" ref="F70:F96" si="5">B70/D70-1</f>
        <v>0.11111111111111116</v>
      </c>
      <c r="G70" s="215">
        <f>B70+Jul!G70</f>
        <v>1.5999999999999999</v>
      </c>
      <c r="H70" s="215">
        <f>C70+Jul!H70</f>
        <v>1.1679999999999999</v>
      </c>
      <c r="I70" s="243">
        <v>1.5940000000000001</v>
      </c>
      <c r="J70" s="73">
        <f t="shared" ref="J70:J96" si="6">G70/H70-1</f>
        <v>0.36986301369863006</v>
      </c>
      <c r="K70" s="44">
        <f t="shared" ref="K70:K96" si="7">G70/I70-1</f>
        <v>3.7641154328731385E-3</v>
      </c>
    </row>
    <row r="71" spans="1:14">
      <c r="A71" s="7" t="s">
        <v>89</v>
      </c>
      <c r="B71" s="314">
        <v>0.4</v>
      </c>
      <c r="C71" s="238">
        <v>0.32100000000000001</v>
      </c>
      <c r="D71" s="239">
        <v>0.29599999999999999</v>
      </c>
      <c r="E71" s="73">
        <f t="shared" si="4"/>
        <v>0.2461059190031154</v>
      </c>
      <c r="F71" s="71">
        <f t="shared" si="5"/>
        <v>0.35135135135135154</v>
      </c>
      <c r="G71" s="215">
        <f>B71+Jul!G71</f>
        <v>3.8</v>
      </c>
      <c r="H71" s="215">
        <f>C71+Jul!H71</f>
        <v>2.8330000000000002</v>
      </c>
      <c r="I71" s="243">
        <v>3.347</v>
      </c>
      <c r="J71" s="73">
        <f t="shared" si="6"/>
        <v>0.34133427462054344</v>
      </c>
      <c r="K71" s="44">
        <f t="shared" si="7"/>
        <v>0.13534508515088128</v>
      </c>
    </row>
    <row r="72" spans="1:14">
      <c r="A72" s="7" t="s">
        <v>59</v>
      </c>
      <c r="B72" s="314">
        <v>4.4000000000000004</v>
      </c>
      <c r="C72" s="238">
        <v>3.6829999999999998</v>
      </c>
      <c r="D72" s="239">
        <v>3.8050000000000002</v>
      </c>
      <c r="E72" s="73">
        <f t="shared" si="4"/>
        <v>0.19467825142546857</v>
      </c>
      <c r="F72" s="71">
        <f t="shared" si="5"/>
        <v>0.15637319316688569</v>
      </c>
      <c r="G72" s="215">
        <f>B72+Jul!G72</f>
        <v>43.8</v>
      </c>
      <c r="H72" s="215">
        <f>C72+Jul!H72</f>
        <v>29.263999999999999</v>
      </c>
      <c r="I72" s="243">
        <v>26.33</v>
      </c>
      <c r="J72" s="73">
        <f t="shared" si="6"/>
        <v>0.49671951886276644</v>
      </c>
      <c r="K72" s="44">
        <f t="shared" si="7"/>
        <v>0.66350170907709827</v>
      </c>
    </row>
    <row r="73" spans="1:14">
      <c r="A73" s="7" t="s">
        <v>60</v>
      </c>
      <c r="B73" s="314">
        <v>0.4</v>
      </c>
      <c r="C73" s="238">
        <v>0.40400000000000003</v>
      </c>
      <c r="D73" s="239">
        <v>0.41199999999999998</v>
      </c>
      <c r="E73" s="73">
        <f t="shared" si="4"/>
        <v>-9.9009900990099098E-3</v>
      </c>
      <c r="F73" s="71">
        <f t="shared" si="5"/>
        <v>-2.9126213592232886E-2</v>
      </c>
      <c r="G73" s="215">
        <f>B73+Jul!G73</f>
        <v>6</v>
      </c>
      <c r="H73" s="215">
        <f>C73+Jul!H73</f>
        <v>4.601</v>
      </c>
      <c r="I73" s="243">
        <v>5.5449999999999999</v>
      </c>
      <c r="J73" s="73">
        <f t="shared" si="6"/>
        <v>0.30406433384046938</v>
      </c>
      <c r="K73" s="44">
        <f t="shared" si="7"/>
        <v>8.2055906221821573E-2</v>
      </c>
    </row>
    <row r="74" spans="1:14">
      <c r="A74" s="7" t="s">
        <v>61</v>
      </c>
      <c r="B74" s="314">
        <v>1.1000000000000001</v>
      </c>
      <c r="C74" s="238">
        <v>1.048</v>
      </c>
      <c r="D74" s="239">
        <v>1.024</v>
      </c>
      <c r="E74" s="73">
        <f t="shared" si="4"/>
        <v>4.961832061068705E-2</v>
      </c>
      <c r="F74" s="71">
        <f t="shared" si="5"/>
        <v>7.421875E-2</v>
      </c>
      <c r="G74" s="215">
        <f>B74+Jul!G74</f>
        <v>13.299999999999999</v>
      </c>
      <c r="H74" s="215">
        <f>C74+Jul!H74</f>
        <v>8.8240000000000016</v>
      </c>
      <c r="I74" s="243">
        <v>8.8550000000000004</v>
      </c>
      <c r="J74" s="73">
        <f t="shared" si="6"/>
        <v>0.50725294650951902</v>
      </c>
      <c r="K74" s="44">
        <f t="shared" si="7"/>
        <v>0.50197628458498</v>
      </c>
    </row>
    <row r="75" spans="1:14">
      <c r="A75" s="7" t="s">
        <v>62</v>
      </c>
      <c r="B75" s="314">
        <v>0.4</v>
      </c>
      <c r="C75" s="238">
        <v>0.23799999999999999</v>
      </c>
      <c r="D75" s="239">
        <v>0.27700000000000002</v>
      </c>
      <c r="E75" s="73">
        <f t="shared" si="4"/>
        <v>0.68067226890756327</v>
      </c>
      <c r="F75" s="71">
        <f t="shared" si="5"/>
        <v>0.44404332129963886</v>
      </c>
      <c r="G75" s="215">
        <f>B75+Jul!G75</f>
        <v>8.4</v>
      </c>
      <c r="H75" s="215">
        <f>C75+Jul!H75</f>
        <v>4.5779999999999994</v>
      </c>
      <c r="I75" s="243">
        <v>5.5270000000000001</v>
      </c>
      <c r="J75" s="73">
        <f t="shared" si="6"/>
        <v>0.83486238532110124</v>
      </c>
      <c r="K75" s="44">
        <f t="shared" si="7"/>
        <v>0.51981183282069843</v>
      </c>
    </row>
    <row r="76" spans="1:14">
      <c r="A76" s="7" t="s">
        <v>63</v>
      </c>
      <c r="B76" s="314">
        <v>1.8</v>
      </c>
      <c r="C76" s="238">
        <v>1.492</v>
      </c>
      <c r="D76" s="239">
        <v>1.2829999999999999</v>
      </c>
      <c r="E76" s="73">
        <f t="shared" si="4"/>
        <v>0.20643431635388754</v>
      </c>
      <c r="F76" s="71">
        <f t="shared" si="5"/>
        <v>0.40296180826188643</v>
      </c>
      <c r="G76" s="215">
        <f>B76+Jul!G76</f>
        <v>17.100000000000001</v>
      </c>
      <c r="H76" s="215">
        <f>C76+Jul!H76</f>
        <v>11.010000000000002</v>
      </c>
      <c r="I76" s="243">
        <v>11.053000000000001</v>
      </c>
      <c r="J76" s="73">
        <f t="shared" si="6"/>
        <v>0.55313351498637586</v>
      </c>
      <c r="K76" s="44">
        <f t="shared" si="7"/>
        <v>0.54709128743327606</v>
      </c>
    </row>
    <row r="77" spans="1:14">
      <c r="A77" s="7" t="s">
        <v>64</v>
      </c>
      <c r="B77" s="314">
        <v>0.5</v>
      </c>
      <c r="C77" s="238">
        <v>1.0469999999999999</v>
      </c>
      <c r="D77" s="239">
        <v>0.34399999999999997</v>
      </c>
      <c r="E77" s="73">
        <f t="shared" si="4"/>
        <v>-0.52244508118433619</v>
      </c>
      <c r="F77" s="71">
        <f t="shared" si="5"/>
        <v>0.4534883720930234</v>
      </c>
      <c r="G77" s="215">
        <f>B77+Jul!G77</f>
        <v>3.9999999999999996</v>
      </c>
      <c r="H77" s="215">
        <f>C77+Jul!H77</f>
        <v>3.6120000000000001</v>
      </c>
      <c r="I77" s="243">
        <v>2.702</v>
      </c>
      <c r="J77" s="73">
        <f t="shared" si="6"/>
        <v>0.10741971207087464</v>
      </c>
      <c r="K77" s="44">
        <f t="shared" si="7"/>
        <v>0.48038490007401902</v>
      </c>
    </row>
    <row r="78" spans="1:14">
      <c r="A78" s="7"/>
      <c r="B78" s="314"/>
      <c r="C78" s="238"/>
      <c r="D78" s="239"/>
      <c r="E78" s="73"/>
      <c r="F78" s="71"/>
      <c r="G78" s="215"/>
      <c r="H78" s="215"/>
      <c r="I78" s="243"/>
      <c r="J78" s="73"/>
      <c r="K78" s="44"/>
    </row>
    <row r="79" spans="1:14">
      <c r="A79" s="7" t="s">
        <v>65</v>
      </c>
      <c r="B79" s="314">
        <f>B80+B81+B82+B83</f>
        <v>72.7</v>
      </c>
      <c r="C79" s="238">
        <v>54.478000000000002</v>
      </c>
      <c r="D79" s="239">
        <v>64.033000000000001</v>
      </c>
      <c r="E79" s="73">
        <f t="shared" si="4"/>
        <v>0.33448364477403714</v>
      </c>
      <c r="F79" s="71">
        <f t="shared" si="5"/>
        <v>0.13535208408164534</v>
      </c>
      <c r="G79" s="215">
        <f>B79+Jul!G79</f>
        <v>669.40000000000009</v>
      </c>
      <c r="H79" s="215">
        <f>C79+Jul!H79</f>
        <v>546.24299999999994</v>
      </c>
      <c r="I79" s="243">
        <v>553.06100000000004</v>
      </c>
      <c r="J79" s="73">
        <f t="shared" si="6"/>
        <v>0.22546192811624155</v>
      </c>
      <c r="K79" s="44">
        <f t="shared" si="7"/>
        <v>0.21035473483033518</v>
      </c>
      <c r="N79" s="317"/>
    </row>
    <row r="80" spans="1:14">
      <c r="A80" s="7" t="s">
        <v>66</v>
      </c>
      <c r="B80" s="314">
        <v>57.2</v>
      </c>
      <c r="C80" s="238">
        <v>42.908000000000001</v>
      </c>
      <c r="D80" s="239">
        <v>51.015999999999998</v>
      </c>
      <c r="E80" s="73">
        <f t="shared" si="4"/>
        <v>0.33308473944252825</v>
      </c>
      <c r="F80" s="71">
        <f t="shared" si="5"/>
        <v>0.12121687313783913</v>
      </c>
      <c r="G80" s="215">
        <f>B80+Jul!G80</f>
        <v>521.80000000000007</v>
      </c>
      <c r="H80" s="215">
        <f>C80+Jul!H80</f>
        <v>432.81100000000004</v>
      </c>
      <c r="I80" s="243">
        <v>426.95400000000001</v>
      </c>
      <c r="J80" s="73">
        <f t="shared" si="6"/>
        <v>0.20560706636384007</v>
      </c>
      <c r="K80" s="44">
        <f t="shared" si="7"/>
        <v>0.22214571124758176</v>
      </c>
      <c r="N80" s="316"/>
    </row>
    <row r="81" spans="1:11">
      <c r="A81" s="7" t="s">
        <v>67</v>
      </c>
      <c r="B81" s="314">
        <v>6</v>
      </c>
      <c r="C81" s="238">
        <v>4.3449999999999998</v>
      </c>
      <c r="D81" s="239">
        <v>5.3970000000000002</v>
      </c>
      <c r="E81" s="73">
        <f t="shared" si="4"/>
        <v>0.38089758342922897</v>
      </c>
      <c r="F81" s="71">
        <f t="shared" si="5"/>
        <v>0.1117287381878822</v>
      </c>
      <c r="G81" s="215">
        <f>B81+Jul!G81</f>
        <v>52.8</v>
      </c>
      <c r="H81" s="215">
        <f>C81+Jul!H81</f>
        <v>41.928000000000004</v>
      </c>
      <c r="I81" s="243">
        <v>43.587000000000003</v>
      </c>
      <c r="J81" s="73">
        <f t="shared" si="6"/>
        <v>0.25930165998855159</v>
      </c>
      <c r="K81" s="44">
        <f t="shared" si="7"/>
        <v>0.21137036272283005</v>
      </c>
    </row>
    <row r="82" spans="1:11">
      <c r="A82" s="7" t="s">
        <v>68</v>
      </c>
      <c r="B82" s="314">
        <v>1.9</v>
      </c>
      <c r="C82" s="238">
        <v>1.413</v>
      </c>
      <c r="D82" s="239">
        <v>1.579</v>
      </c>
      <c r="E82" s="73">
        <f t="shared" si="4"/>
        <v>0.34465675866949752</v>
      </c>
      <c r="F82" s="71">
        <f t="shared" si="5"/>
        <v>0.20329322355921464</v>
      </c>
      <c r="G82" s="215">
        <f>B82+Jul!G82</f>
        <v>17.2</v>
      </c>
      <c r="H82" s="215">
        <f>C82+Jul!H82</f>
        <v>12.786</v>
      </c>
      <c r="I82" s="243">
        <v>14.472</v>
      </c>
      <c r="J82" s="73">
        <f t="shared" si="6"/>
        <v>0.34522133583607073</v>
      </c>
      <c r="K82" s="44">
        <f t="shared" si="7"/>
        <v>0.18850193477059141</v>
      </c>
    </row>
    <row r="83" spans="1:11">
      <c r="A83" s="7" t="s">
        <v>69</v>
      </c>
      <c r="B83" s="314">
        <f>0.9+0.8+SUM(B84:B89)</f>
        <v>7.6000000000000005</v>
      </c>
      <c r="C83" s="238">
        <v>5.8120000000000003</v>
      </c>
      <c r="D83" s="239">
        <v>6.0410000000000004</v>
      </c>
      <c r="E83" s="73">
        <f t="shared" si="4"/>
        <v>0.3076393668272539</v>
      </c>
      <c r="F83" s="71">
        <f t="shared" si="5"/>
        <v>0.25806985598410859</v>
      </c>
      <c r="G83" s="215">
        <f>B83+Jul!G83</f>
        <v>84.899999999999991</v>
      </c>
      <c r="H83" s="215">
        <f>C83+Jul!H83</f>
        <v>58.718000000000004</v>
      </c>
      <c r="I83" s="243">
        <v>68.048000000000002</v>
      </c>
      <c r="J83" s="73">
        <f t="shared" si="6"/>
        <v>0.44589393371708819</v>
      </c>
      <c r="K83" s="44">
        <f t="shared" si="7"/>
        <v>0.24764871855161052</v>
      </c>
    </row>
    <row r="84" spans="1:11">
      <c r="A84" s="7" t="s">
        <v>70</v>
      </c>
      <c r="B84" s="314">
        <v>0.2</v>
      </c>
      <c r="C84" s="238">
        <v>0.255</v>
      </c>
      <c r="D84" s="239">
        <v>0.17599999999999999</v>
      </c>
      <c r="E84" s="73">
        <f t="shared" si="4"/>
        <v>-0.21568627450980393</v>
      </c>
      <c r="F84" s="71">
        <f t="shared" si="5"/>
        <v>0.13636363636363646</v>
      </c>
      <c r="G84" s="215">
        <f>B84+Jul!G84</f>
        <v>2.4000000000000004</v>
      </c>
      <c r="H84" s="215">
        <f>C84+Jul!H84</f>
        <v>2.0950000000000002</v>
      </c>
      <c r="I84" s="243">
        <v>2.149</v>
      </c>
      <c r="J84" s="73">
        <f t="shared" si="6"/>
        <v>0.14558472553699287</v>
      </c>
      <c r="K84" s="44">
        <f t="shared" si="7"/>
        <v>0.1167985109353189</v>
      </c>
    </row>
    <row r="85" spans="1:11">
      <c r="A85" s="7" t="s">
        <v>71</v>
      </c>
      <c r="B85" s="314">
        <v>2</v>
      </c>
      <c r="C85" s="238">
        <v>1.5149999999999999</v>
      </c>
      <c r="D85" s="239">
        <v>1.7569999999999999</v>
      </c>
      <c r="E85" s="73">
        <f t="shared" si="4"/>
        <v>0.32013201320132012</v>
      </c>
      <c r="F85" s="71">
        <f t="shared" si="5"/>
        <v>0.13830392714854867</v>
      </c>
      <c r="G85" s="215">
        <f>B85+Jul!G85</f>
        <v>22.8</v>
      </c>
      <c r="H85" s="215">
        <f>C85+Jul!H85</f>
        <v>17.683</v>
      </c>
      <c r="I85" s="243">
        <v>17.02</v>
      </c>
      <c r="J85" s="73">
        <f t="shared" si="6"/>
        <v>0.28937397500424145</v>
      </c>
      <c r="K85" s="44">
        <f t="shared" si="7"/>
        <v>0.33960047003525262</v>
      </c>
    </row>
    <row r="86" spans="1:11">
      <c r="A86" s="7" t="s">
        <v>72</v>
      </c>
      <c r="B86" s="314">
        <v>2.5</v>
      </c>
      <c r="C86" s="238">
        <v>1.696</v>
      </c>
      <c r="D86" s="239">
        <v>1.823</v>
      </c>
      <c r="E86" s="73">
        <f t="shared" si="4"/>
        <v>0.47405660377358494</v>
      </c>
      <c r="F86" s="71">
        <f t="shared" si="5"/>
        <v>0.37136588041689533</v>
      </c>
      <c r="G86" s="215">
        <f>B86+Jul!G86</f>
        <v>31.999999999999996</v>
      </c>
      <c r="H86" s="215">
        <f>C86+Jul!H86</f>
        <v>18.877000000000002</v>
      </c>
      <c r="I86" s="243">
        <v>28.152999999999999</v>
      </c>
      <c r="J86" s="73">
        <f t="shared" si="6"/>
        <v>0.69518461619960759</v>
      </c>
      <c r="K86" s="44">
        <f t="shared" si="7"/>
        <v>0.13664618335523748</v>
      </c>
    </row>
    <row r="87" spans="1:11">
      <c r="A87" s="7" t="s">
        <v>73</v>
      </c>
      <c r="B87" s="314">
        <v>0.4</v>
      </c>
      <c r="C87" s="238">
        <v>0.27500000000000002</v>
      </c>
      <c r="D87" s="239">
        <v>0.40699999999999997</v>
      </c>
      <c r="E87" s="73">
        <f t="shared" si="4"/>
        <v>0.45454545454545459</v>
      </c>
      <c r="F87" s="71">
        <f t="shared" si="5"/>
        <v>-1.7199017199017064E-2</v>
      </c>
      <c r="G87" s="215">
        <f>B87+Jul!G87</f>
        <v>5</v>
      </c>
      <c r="H87" s="215">
        <f>C87+Jul!H87</f>
        <v>3.5479999999999996</v>
      </c>
      <c r="I87" s="243">
        <v>3.855</v>
      </c>
      <c r="J87" s="73">
        <f t="shared" si="6"/>
        <v>0.40924464487034973</v>
      </c>
      <c r="K87" s="44">
        <f t="shared" si="7"/>
        <v>0.2970168612191959</v>
      </c>
    </row>
    <row r="88" spans="1:11">
      <c r="A88" s="7" t="s">
        <v>74</v>
      </c>
      <c r="B88" s="314">
        <v>0.7</v>
      </c>
      <c r="C88" s="238">
        <v>0.67900000000000005</v>
      </c>
      <c r="D88" s="239">
        <v>0.62</v>
      </c>
      <c r="E88" s="73">
        <f t="shared" si="4"/>
        <v>3.0927835051546282E-2</v>
      </c>
      <c r="F88" s="71">
        <f t="shared" si="5"/>
        <v>0.12903225806451601</v>
      </c>
      <c r="G88" s="215">
        <f>B88+Jul!G88</f>
        <v>6.7</v>
      </c>
      <c r="H88" s="215">
        <f>C88+Jul!H88</f>
        <v>4.7710000000000008</v>
      </c>
      <c r="I88" s="243">
        <v>5.1520000000000001</v>
      </c>
      <c r="J88" s="73">
        <f t="shared" si="6"/>
        <v>0.4043177530915949</v>
      </c>
      <c r="K88" s="44">
        <f t="shared" si="7"/>
        <v>0.30046583850931685</v>
      </c>
    </row>
    <row r="89" spans="1:11">
      <c r="A89" s="7" t="s">
        <v>75</v>
      </c>
      <c r="B89" s="314">
        <v>0.1</v>
      </c>
      <c r="C89" s="238">
        <v>0.16700000000000001</v>
      </c>
      <c r="D89" s="239">
        <v>0.189</v>
      </c>
      <c r="E89" s="73">
        <f t="shared" si="4"/>
        <v>-0.40119760479041922</v>
      </c>
      <c r="F89" s="71">
        <f t="shared" si="5"/>
        <v>-0.47089947089947093</v>
      </c>
      <c r="G89" s="215">
        <f>B89+Jul!G89</f>
        <v>1.8000000000000005</v>
      </c>
      <c r="H89" s="215">
        <f>C89+Jul!H89</f>
        <v>0.76500000000000001</v>
      </c>
      <c r="I89" s="243">
        <v>0.94499999999999995</v>
      </c>
      <c r="J89" s="73">
        <f t="shared" si="6"/>
        <v>1.3529411764705888</v>
      </c>
      <c r="K89" s="44">
        <f t="shared" si="7"/>
        <v>0.90476190476190532</v>
      </c>
    </row>
    <row r="90" spans="1:11">
      <c r="A90" s="7"/>
      <c r="B90" s="314"/>
      <c r="C90" s="238"/>
      <c r="D90" s="239"/>
      <c r="E90" s="73"/>
      <c r="F90" s="71"/>
      <c r="G90" s="215"/>
      <c r="H90" s="215"/>
      <c r="I90" s="243"/>
      <c r="J90" s="73"/>
      <c r="K90" s="44"/>
    </row>
    <row r="91" spans="1:11">
      <c r="A91" s="7" t="s">
        <v>76</v>
      </c>
      <c r="B91" s="314">
        <f>SUM(B92:B94)</f>
        <v>2.6999999999999997</v>
      </c>
      <c r="C91" s="238">
        <v>1.9219999999999999</v>
      </c>
      <c r="D91" s="239">
        <v>2.581</v>
      </c>
      <c r="E91" s="73">
        <f t="shared" si="4"/>
        <v>0.40478668054110289</v>
      </c>
      <c r="F91" s="71">
        <f t="shared" si="5"/>
        <v>4.6106160402944463E-2</v>
      </c>
      <c r="G91" s="215">
        <f>B91+Jul!G91</f>
        <v>27.3</v>
      </c>
      <c r="H91" s="215">
        <f>C91+Jul!H91</f>
        <v>20.639000000000003</v>
      </c>
      <c r="I91" s="243">
        <v>21.501999999999999</v>
      </c>
      <c r="J91" s="73">
        <f t="shared" si="6"/>
        <v>0.32273850477251798</v>
      </c>
      <c r="K91" s="44">
        <f t="shared" si="7"/>
        <v>0.26964933494558663</v>
      </c>
    </row>
    <row r="92" spans="1:11">
      <c r="A92" s="7" t="s">
        <v>77</v>
      </c>
      <c r="B92" s="314">
        <v>2.2999999999999998</v>
      </c>
      <c r="C92" s="238">
        <v>1.552</v>
      </c>
      <c r="D92" s="239">
        <v>1.881</v>
      </c>
      <c r="E92" s="73">
        <f t="shared" si="4"/>
        <v>0.48195876288659778</v>
      </c>
      <c r="F92" s="71">
        <f t="shared" si="5"/>
        <v>0.22275385433280159</v>
      </c>
      <c r="G92" s="215">
        <f>B92+Jul!G92</f>
        <v>24</v>
      </c>
      <c r="H92" s="215">
        <f>C92+Jul!H92</f>
        <v>17.997999999999998</v>
      </c>
      <c r="I92" s="243">
        <v>18.324999999999999</v>
      </c>
      <c r="J92" s="73">
        <f t="shared" si="6"/>
        <v>0.33348149794421622</v>
      </c>
      <c r="K92" s="44">
        <f t="shared" si="7"/>
        <v>0.3096862210095499</v>
      </c>
    </row>
    <row r="93" spans="1:11">
      <c r="A93" s="7" t="s">
        <v>78</v>
      </c>
      <c r="B93" s="314">
        <v>0.3</v>
      </c>
      <c r="C93" s="238">
        <v>0.16</v>
      </c>
      <c r="D93" s="239">
        <v>0.245</v>
      </c>
      <c r="E93" s="73">
        <f t="shared" si="4"/>
        <v>0.875</v>
      </c>
      <c r="F93" s="71">
        <f t="shared" si="5"/>
        <v>0.22448979591836737</v>
      </c>
      <c r="G93" s="215">
        <f>B93+Jul!G93</f>
        <v>2.5999999999999996</v>
      </c>
      <c r="H93" s="215">
        <f>C93+Jul!H93</f>
        <v>2.0409999999999999</v>
      </c>
      <c r="I93" s="243">
        <v>2.2010000000000001</v>
      </c>
      <c r="J93" s="73">
        <f t="shared" si="6"/>
        <v>0.27388535031847128</v>
      </c>
      <c r="K93" s="44">
        <f t="shared" si="7"/>
        <v>0.18128123580190802</v>
      </c>
    </row>
    <row r="94" spans="1:11">
      <c r="A94" s="7" t="s">
        <v>19</v>
      </c>
      <c r="B94" s="314">
        <v>0.1</v>
      </c>
      <c r="C94" s="238">
        <v>0.21</v>
      </c>
      <c r="D94" s="239">
        <v>0.45500000000000002</v>
      </c>
      <c r="E94" s="73">
        <f t="shared" si="4"/>
        <v>-0.52380952380952372</v>
      </c>
      <c r="F94" s="71">
        <f t="shared" si="5"/>
        <v>-0.78021978021978022</v>
      </c>
      <c r="G94" s="215">
        <f>B94+Jul!G94</f>
        <v>0.7</v>
      </c>
      <c r="H94" s="215">
        <f>C94+Jul!H94</f>
        <v>0.6</v>
      </c>
      <c r="I94" s="243">
        <v>0.97599999999999998</v>
      </c>
      <c r="J94" s="73">
        <f t="shared" si="6"/>
        <v>0.16666666666666674</v>
      </c>
      <c r="K94" s="44">
        <f t="shared" si="7"/>
        <v>-0.28278688524590168</v>
      </c>
    </row>
    <row r="95" spans="1:11">
      <c r="A95" s="7"/>
      <c r="B95" s="314"/>
      <c r="C95" s="238"/>
      <c r="D95" s="239"/>
      <c r="E95" s="73"/>
      <c r="F95" s="71"/>
      <c r="G95" s="215"/>
      <c r="H95" s="215"/>
      <c r="I95" s="243"/>
      <c r="J95" s="73"/>
      <c r="K95" s="44"/>
    </row>
    <row r="96" spans="1:11" ht="13.5" thickBot="1">
      <c r="A96" s="9" t="s">
        <v>79</v>
      </c>
      <c r="B96" s="315">
        <v>1</v>
      </c>
      <c r="C96" s="240">
        <v>1.5960000000000001</v>
      </c>
      <c r="D96" s="241">
        <v>0.91700000000000004</v>
      </c>
      <c r="E96" s="74">
        <f t="shared" si="4"/>
        <v>-0.37343358395989978</v>
      </c>
      <c r="F96" s="72">
        <f t="shared" si="5"/>
        <v>9.0512540894220228E-2</v>
      </c>
      <c r="G96" s="218">
        <f>B96+Jul!G96</f>
        <v>6.9</v>
      </c>
      <c r="H96" s="218">
        <f>C96+Jul!H96</f>
        <v>8.5280000000000005</v>
      </c>
      <c r="I96" s="244">
        <v>6.7220000000000004</v>
      </c>
      <c r="J96" s="74">
        <f t="shared" si="6"/>
        <v>-0.19090056285178236</v>
      </c>
      <c r="K96" s="45">
        <f t="shared" si="7"/>
        <v>2.6480214221957787E-2</v>
      </c>
    </row>
  </sheetData>
  <mergeCells count="4">
    <mergeCell ref="B3:D3"/>
    <mergeCell ref="E3:F3"/>
    <mergeCell ref="G3:I3"/>
    <mergeCell ref="J3:K3"/>
  </mergeCells>
  <conditionalFormatting sqref="E5:F96">
    <cfRule type="cellIs" dxfId="39" priority="5" operator="lessThan">
      <formula>0</formula>
    </cfRule>
    <cfRule type="cellIs" dxfId="38" priority="6" operator="greaterThan">
      <formula>0</formula>
    </cfRule>
    <cfRule type="cellIs" dxfId="37" priority="7" operator="greaterThan">
      <formula>0</formula>
    </cfRule>
    <cfRule type="cellIs" dxfId="36" priority="8" operator="lessThan">
      <formula>0</formula>
    </cfRule>
  </conditionalFormatting>
  <conditionalFormatting sqref="J5:K96">
    <cfRule type="cellIs" dxfId="35" priority="1" operator="lessThan">
      <formula>0</formula>
    </cfRule>
    <cfRule type="cellIs" dxfId="34" priority="2" operator="greaterThan">
      <formula>0</formula>
    </cfRule>
    <cfRule type="cellIs" dxfId="33" priority="3" operator="greaterThan">
      <formula>0</formula>
    </cfRule>
    <cfRule type="cellIs" dxfId="32" priority="4" operator="lessThan">
      <formula>0</formula>
    </cfRule>
  </conditionalFormatting>
  <pageMargins left="0.7" right="0.7" top="0.75" bottom="0.75" header="0.3" footer="0.3"/>
  <pageSetup paperSize="9" scale="87" orientation="portrait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נתוני למ"ס גלמיים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topten</vt:lpstr>
      <vt:lpstr>תוצאות</vt:lpstr>
      <vt:lpstr>חיתוך</vt:lpstr>
      <vt:lpstr>קריטריונים</vt:lpstr>
      <vt:lpstr>top 10 2017</vt:lpstr>
      <vt:lpstr>הכנסות לפי מדינות</vt:lpstr>
      <vt:lpstr>גרפים הכנסות</vt:lpstr>
      <vt:lpstr>גיליון2</vt:lpstr>
      <vt:lpstr>Jan!Print_Area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צארום יעל</dc:creator>
  <cp:lastModifiedBy>User</cp:lastModifiedBy>
  <cp:lastPrinted>2016-08-28T09:36:27Z</cp:lastPrinted>
  <dcterms:created xsi:type="dcterms:W3CDTF">2016-01-27T06:04:04Z</dcterms:created>
  <dcterms:modified xsi:type="dcterms:W3CDTF">2017-12-25T11:20:20Z</dcterms:modified>
</cp:coreProperties>
</file>